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15072\Desktop\企業認定様式等検討\認定制度要綱改正案（R8.4.1）\20 改正後一式・公表\"/>
    </mc:Choice>
  </mc:AlternateContent>
  <xr:revisionPtr revIDLastSave="0" documentId="13_ncr:1_{54BEFDE4-8A59-43EF-8CA0-94D9A5494691}" xr6:coauthVersionLast="47" xr6:coauthVersionMax="47" xr10:uidLastSave="{00000000-0000-0000-0000-000000000000}"/>
  <bookViews>
    <workbookView xWindow="-120" yWindow="-120" windowWidth="29040" windowHeight="16440" xr2:uid="{00000000-000D-0000-FFFF-FFFF00000000}"/>
  </bookViews>
  <sheets>
    <sheet name="確認調書・和暦" sheetId="19" r:id="rId1"/>
    <sheet name="確認調書・西暦" sheetId="20" r:id="rId2"/>
    <sheet name="記載例１" sheetId="21" r:id="rId3"/>
    <sheet name="記載例２" sheetId="22" r:id="rId4"/>
  </sheets>
  <definedNames>
    <definedName name="_xlnm.Print_Area" localSheetId="1">確認調書・西暦!$A$1:$AB$421</definedName>
    <definedName name="_xlnm.Print_Area" localSheetId="0">確認調書・和暦!$A$1:$AB$421</definedName>
    <definedName name="_xlnm.Print_Area" localSheetId="2">記載例１!$A$1:$AB$421</definedName>
    <definedName name="_xlnm.Print_Area" localSheetId="3">記載例２!$A$1:$AB$421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22" l="1"/>
  <c r="C7" i="22"/>
  <c r="C8" i="21"/>
  <c r="C7" i="21"/>
  <c r="C8" i="20"/>
  <c r="C7" i="20"/>
  <c r="C8" i="19"/>
  <c r="C7" i="19"/>
  <c r="Y420" i="22"/>
  <c r="E420" i="22"/>
  <c r="Y419" i="22"/>
  <c r="E419" i="22"/>
  <c r="Y418" i="22"/>
  <c r="F418" i="22"/>
  <c r="E418" i="22"/>
  <c r="U417" i="22"/>
  <c r="Q417" i="22"/>
  <c r="M417" i="22"/>
  <c r="I417" i="22"/>
  <c r="F416" i="22"/>
  <c r="F420" i="22" s="1"/>
  <c r="Y415" i="22"/>
  <c r="S415" i="22"/>
  <c r="Q415" i="22"/>
  <c r="K415" i="22"/>
  <c r="I415" i="22"/>
  <c r="F415" i="22"/>
  <c r="E415" i="22"/>
  <c r="W414" i="22"/>
  <c r="S414" i="22"/>
  <c r="O414" i="22"/>
  <c r="K414" i="22"/>
  <c r="I414" i="22"/>
  <c r="F414" i="22"/>
  <c r="U413" i="22"/>
  <c r="Q413" i="22"/>
  <c r="M413" i="22"/>
  <c r="I413" i="22"/>
  <c r="F412" i="22"/>
  <c r="F419" i="22" s="1"/>
  <c r="Y411" i="22"/>
  <c r="S411" i="22"/>
  <c r="Q411" i="22"/>
  <c r="Q414" i="22" s="1"/>
  <c r="K411" i="22"/>
  <c r="I411" i="22"/>
  <c r="F411" i="22"/>
  <c r="E411" i="22"/>
  <c r="W410" i="22"/>
  <c r="S410" i="22"/>
  <c r="O410" i="22"/>
  <c r="K410" i="22"/>
  <c r="I410" i="22"/>
  <c r="F410" i="22"/>
  <c r="U409" i="22"/>
  <c r="Q409" i="22"/>
  <c r="M409" i="22"/>
  <c r="I409" i="22"/>
  <c r="F408" i="22"/>
  <c r="Y407" i="22"/>
  <c r="S407" i="22"/>
  <c r="Q407" i="22"/>
  <c r="Q410" i="22" s="1"/>
  <c r="K407" i="22"/>
  <c r="I407" i="22"/>
  <c r="F407" i="22"/>
  <c r="E407" i="22"/>
  <c r="W406" i="22"/>
  <c r="S406" i="22"/>
  <c r="O406" i="22"/>
  <c r="K406" i="22"/>
  <c r="F406" i="22"/>
  <c r="U405" i="22"/>
  <c r="Q405" i="22"/>
  <c r="M405" i="22"/>
  <c r="I405" i="22"/>
  <c r="F404" i="22"/>
  <c r="Y403" i="22"/>
  <c r="S403" i="22"/>
  <c r="K403" i="22"/>
  <c r="F403" i="22"/>
  <c r="E403" i="22"/>
  <c r="W402" i="22"/>
  <c r="S402" i="22"/>
  <c r="Q402" i="22"/>
  <c r="O402" i="22"/>
  <c r="K402" i="22"/>
  <c r="I402" i="22"/>
  <c r="F402" i="22"/>
  <c r="U401" i="22"/>
  <c r="Q401" i="22"/>
  <c r="M401" i="22"/>
  <c r="I401" i="22"/>
  <c r="U400" i="22"/>
  <c r="Q400" i="22"/>
  <c r="Q403" i="22" s="1"/>
  <c r="Q406" i="22" s="1"/>
  <c r="M400" i="22"/>
  <c r="I400" i="22"/>
  <c r="I403" i="22" s="1"/>
  <c r="I406" i="22" s="1"/>
  <c r="F400" i="22"/>
  <c r="E400" i="22"/>
  <c r="Y399" i="22"/>
  <c r="U399" i="22"/>
  <c r="S399" i="22"/>
  <c r="Q399" i="22"/>
  <c r="M399" i="22"/>
  <c r="K399" i="22"/>
  <c r="I399" i="22"/>
  <c r="F399" i="22"/>
  <c r="E399" i="22"/>
  <c r="W398" i="22"/>
  <c r="U398" i="22"/>
  <c r="S398" i="22"/>
  <c r="Q398" i="22"/>
  <c r="O398" i="22"/>
  <c r="M398" i="22"/>
  <c r="K398" i="22"/>
  <c r="I398" i="22"/>
  <c r="F398" i="22"/>
  <c r="E398" i="22"/>
  <c r="AA394" i="22"/>
  <c r="Y392" i="22"/>
  <c r="F392" i="22"/>
  <c r="E392" i="22"/>
  <c r="Y391" i="22"/>
  <c r="F391" i="22"/>
  <c r="E391" i="22"/>
  <c r="Y390" i="22"/>
  <c r="E390" i="22"/>
  <c r="U389" i="22"/>
  <c r="Q389" i="22"/>
  <c r="M389" i="22"/>
  <c r="I389" i="22"/>
  <c r="F388" i="22"/>
  <c r="Y387" i="22"/>
  <c r="S387" i="22"/>
  <c r="Q387" i="22"/>
  <c r="K387" i="22"/>
  <c r="I387" i="22"/>
  <c r="F387" i="22"/>
  <c r="E387" i="22"/>
  <c r="W386" i="22"/>
  <c r="S386" i="22"/>
  <c r="O386" i="22"/>
  <c r="K386" i="22"/>
  <c r="F386" i="22"/>
  <c r="U385" i="22"/>
  <c r="Q385" i="22"/>
  <c r="M385" i="22"/>
  <c r="I385" i="22"/>
  <c r="F384" i="22"/>
  <c r="Y383" i="22"/>
  <c r="S383" i="22"/>
  <c r="Q383" i="22"/>
  <c r="Q386" i="22" s="1"/>
  <c r="K383" i="22"/>
  <c r="I383" i="22"/>
  <c r="I386" i="22" s="1"/>
  <c r="F383" i="22"/>
  <c r="E383" i="22"/>
  <c r="W382" i="22"/>
  <c r="S382" i="22"/>
  <c r="O382" i="22"/>
  <c r="K382" i="22"/>
  <c r="I382" i="22"/>
  <c r="F382" i="22"/>
  <c r="U381" i="22"/>
  <c r="Q381" i="22"/>
  <c r="M381" i="22"/>
  <c r="I381" i="22"/>
  <c r="F380" i="22"/>
  <c r="F390" i="22" s="1"/>
  <c r="Y379" i="22"/>
  <c r="S379" i="22"/>
  <c r="Q379" i="22"/>
  <c r="Q382" i="22" s="1"/>
  <c r="K379" i="22"/>
  <c r="I379" i="22"/>
  <c r="F379" i="22"/>
  <c r="E379" i="22"/>
  <c r="W378" i="22"/>
  <c r="S378" i="22"/>
  <c r="O378" i="22"/>
  <c r="K378" i="22"/>
  <c r="I378" i="22"/>
  <c r="F378" i="22"/>
  <c r="U377" i="22"/>
  <c r="Q377" i="22"/>
  <c r="M377" i="22"/>
  <c r="I377" i="22"/>
  <c r="F376" i="22"/>
  <c r="Y375" i="22"/>
  <c r="S375" i="22"/>
  <c r="Q375" i="22"/>
  <c r="Q378" i="22" s="1"/>
  <c r="K375" i="22"/>
  <c r="I375" i="22"/>
  <c r="F375" i="22"/>
  <c r="E375" i="22"/>
  <c r="W374" i="22"/>
  <c r="S374" i="22"/>
  <c r="O374" i="22"/>
  <c r="K374" i="22"/>
  <c r="I374" i="22"/>
  <c r="F374" i="22"/>
  <c r="U373" i="22"/>
  <c r="Q373" i="22"/>
  <c r="M373" i="22"/>
  <c r="I373" i="22"/>
  <c r="U372" i="22"/>
  <c r="Q372" i="22"/>
  <c r="M372" i="22"/>
  <c r="I372" i="22"/>
  <c r="F372" i="22"/>
  <c r="E372" i="22"/>
  <c r="Y371" i="22"/>
  <c r="U371" i="22"/>
  <c r="S371" i="22"/>
  <c r="Q371" i="22"/>
  <c r="Q374" i="22" s="1"/>
  <c r="M371" i="22"/>
  <c r="K371" i="22"/>
  <c r="I371" i="22"/>
  <c r="F371" i="22"/>
  <c r="E371" i="22"/>
  <c r="W370" i="22"/>
  <c r="U370" i="22"/>
  <c r="S370" i="22"/>
  <c r="Q370" i="22"/>
  <c r="O370" i="22"/>
  <c r="M370" i="22"/>
  <c r="K370" i="22"/>
  <c r="I370" i="22"/>
  <c r="F370" i="22"/>
  <c r="E370" i="22"/>
  <c r="E369" i="22"/>
  <c r="E368" i="22"/>
  <c r="F367" i="22"/>
  <c r="E367" i="22"/>
  <c r="U366" i="22"/>
  <c r="Q366" i="22"/>
  <c r="W363" i="22" s="1"/>
  <c r="M366" i="22"/>
  <c r="F365" i="22"/>
  <c r="F369" i="22" s="1"/>
  <c r="S364" i="22"/>
  <c r="Q364" i="22"/>
  <c r="K364" i="22"/>
  <c r="I364" i="22"/>
  <c r="F364" i="22"/>
  <c r="E364" i="22"/>
  <c r="S363" i="22"/>
  <c r="I363" i="22"/>
  <c r="I366" i="22" s="1"/>
  <c r="O363" i="22" s="1"/>
  <c r="F363" i="22"/>
  <c r="U362" i="22"/>
  <c r="M362" i="22"/>
  <c r="I362" i="22"/>
  <c r="O359" i="22" s="1"/>
  <c r="Y360" i="22" s="1"/>
  <c r="F361" i="22"/>
  <c r="F368" i="22" s="1"/>
  <c r="S360" i="22"/>
  <c r="Q360" i="22"/>
  <c r="Q363" i="22" s="1"/>
  <c r="K360" i="22"/>
  <c r="I360" i="22"/>
  <c r="F360" i="22"/>
  <c r="E360" i="22"/>
  <c r="K359" i="22"/>
  <c r="I359" i="22"/>
  <c r="F359" i="22"/>
  <c r="U358" i="22"/>
  <c r="M358" i="22"/>
  <c r="F357" i="22"/>
  <c r="S356" i="22"/>
  <c r="Q356" i="22"/>
  <c r="Q359" i="22" s="1"/>
  <c r="Q362" i="22" s="1"/>
  <c r="W359" i="22" s="1"/>
  <c r="K356" i="22"/>
  <c r="I356" i="22"/>
  <c r="F356" i="22"/>
  <c r="E356" i="22"/>
  <c r="F355" i="22"/>
  <c r="U354" i="22"/>
  <c r="M354" i="22"/>
  <c r="F353" i="22"/>
  <c r="S352" i="22"/>
  <c r="K352" i="22"/>
  <c r="F352" i="22"/>
  <c r="E352" i="22"/>
  <c r="S351" i="22"/>
  <c r="K351" i="22"/>
  <c r="F351" i="22"/>
  <c r="F349" i="22"/>
  <c r="E349" i="22" s="1"/>
  <c r="S348" i="22"/>
  <c r="K348" i="22"/>
  <c r="F348" i="22"/>
  <c r="E348" i="22"/>
  <c r="U347" i="22"/>
  <c r="S347" i="22"/>
  <c r="F347" i="22"/>
  <c r="E347" i="22"/>
  <c r="Q347" i="22" s="1"/>
  <c r="AA342" i="22"/>
  <c r="W340" i="22"/>
  <c r="B340" i="22"/>
  <c r="B339" i="22"/>
  <c r="W339" i="22" s="1"/>
  <c r="AA336" i="22"/>
  <c r="B334" i="22"/>
  <c r="W334" i="22" s="1"/>
  <c r="B333" i="22"/>
  <c r="W333" i="22" s="1"/>
  <c r="B332" i="22"/>
  <c r="AA322" i="22"/>
  <c r="D320" i="22"/>
  <c r="K320" i="22" s="1"/>
  <c r="D319" i="22"/>
  <c r="D318" i="22"/>
  <c r="D317" i="22"/>
  <c r="S317" i="22" s="1"/>
  <c r="D316" i="22"/>
  <c r="S315" i="22"/>
  <c r="Q315" i="22"/>
  <c r="O315" i="22"/>
  <c r="D315" i="22"/>
  <c r="AA311" i="22"/>
  <c r="B310" i="22"/>
  <c r="B309" i="22"/>
  <c r="S309" i="22" s="1"/>
  <c r="S308" i="22"/>
  <c r="K308" i="22"/>
  <c r="B308" i="22"/>
  <c r="O302" i="22"/>
  <c r="B302" i="22"/>
  <c r="R301" i="22"/>
  <c r="B301" i="22"/>
  <c r="B300" i="22"/>
  <c r="B299" i="22"/>
  <c r="Y296" i="22"/>
  <c r="S296" i="22"/>
  <c r="B294" i="22"/>
  <c r="R294" i="22" s="1"/>
  <c r="AA286" i="22"/>
  <c r="F284" i="22"/>
  <c r="S284" i="22" s="1"/>
  <c r="F282" i="22"/>
  <c r="S282" i="22" s="1"/>
  <c r="B282" i="22"/>
  <c r="Q282" i="22" s="1"/>
  <c r="S281" i="22"/>
  <c r="Y281" i="22" s="1"/>
  <c r="Q279" i="22"/>
  <c r="F279" i="22"/>
  <c r="S279" i="22" s="1"/>
  <c r="B279" i="22"/>
  <c r="Q281" i="22" s="1"/>
  <c r="Q278" i="22"/>
  <c r="F278" i="22"/>
  <c r="F281" i="22" s="1"/>
  <c r="F277" i="22"/>
  <c r="S276" i="22"/>
  <c r="V276" i="22" s="1"/>
  <c r="F276" i="22"/>
  <c r="B276" i="22"/>
  <c r="Q276" i="22" s="1"/>
  <c r="F275" i="22"/>
  <c r="F274" i="22"/>
  <c r="F273" i="22"/>
  <c r="B273" i="22"/>
  <c r="Q270" i="22"/>
  <c r="B270" i="22"/>
  <c r="Q271" i="22" s="1"/>
  <c r="AA265" i="22"/>
  <c r="X263" i="22"/>
  <c r="P263" i="22"/>
  <c r="N263" i="22"/>
  <c r="F263" i="22"/>
  <c r="X262" i="22"/>
  <c r="P262" i="22"/>
  <c r="N262" i="22"/>
  <c r="F262" i="22"/>
  <c r="X261" i="22"/>
  <c r="P261" i="22"/>
  <c r="N261" i="22"/>
  <c r="F261" i="22"/>
  <c r="X260" i="22"/>
  <c r="P260" i="22"/>
  <c r="N260" i="22"/>
  <c r="F260" i="22"/>
  <c r="X259" i="22"/>
  <c r="P259" i="22"/>
  <c r="N259" i="22"/>
  <c r="F259" i="22"/>
  <c r="Z258" i="22"/>
  <c r="X258" i="22"/>
  <c r="P258" i="22"/>
  <c r="N258" i="22"/>
  <c r="F258" i="22"/>
  <c r="X257" i="22"/>
  <c r="P257" i="22"/>
  <c r="N257" i="22"/>
  <c r="F257" i="22"/>
  <c r="X256" i="22"/>
  <c r="P256" i="22"/>
  <c r="N256" i="22"/>
  <c r="F256" i="22"/>
  <c r="X255" i="22"/>
  <c r="P255" i="22"/>
  <c r="N255" i="22"/>
  <c r="F255" i="22"/>
  <c r="X254" i="22"/>
  <c r="P254" i="22"/>
  <c r="N254" i="22"/>
  <c r="F254" i="22"/>
  <c r="X253" i="22"/>
  <c r="P253" i="22"/>
  <c r="N253" i="22"/>
  <c r="F253" i="22"/>
  <c r="Z252" i="22"/>
  <c r="X252" i="22"/>
  <c r="P252" i="22"/>
  <c r="N252" i="22"/>
  <c r="F252" i="22"/>
  <c r="X251" i="22"/>
  <c r="P251" i="22"/>
  <c r="N251" i="22"/>
  <c r="F251" i="22"/>
  <c r="X250" i="22"/>
  <c r="P250" i="22"/>
  <c r="N250" i="22"/>
  <c r="F250" i="22"/>
  <c r="X249" i="22"/>
  <c r="P249" i="22"/>
  <c r="N249" i="22"/>
  <c r="F249" i="22"/>
  <c r="X248" i="22"/>
  <c r="P248" i="22"/>
  <c r="N248" i="22"/>
  <c r="F248" i="22"/>
  <c r="X247" i="22"/>
  <c r="P247" i="22"/>
  <c r="N247" i="22"/>
  <c r="F247" i="22"/>
  <c r="Z246" i="22"/>
  <c r="X246" i="22"/>
  <c r="P246" i="22"/>
  <c r="N246" i="22"/>
  <c r="F246" i="22"/>
  <c r="AA241" i="22"/>
  <c r="AA238" i="22"/>
  <c r="X236" i="22"/>
  <c r="P236" i="22"/>
  <c r="N236" i="22"/>
  <c r="F236" i="22"/>
  <c r="X235" i="22"/>
  <c r="P235" i="22"/>
  <c r="N235" i="22"/>
  <c r="F235" i="22"/>
  <c r="X234" i="22"/>
  <c r="P234" i="22"/>
  <c r="N234" i="22"/>
  <c r="F234" i="22"/>
  <c r="X233" i="22"/>
  <c r="P233" i="22"/>
  <c r="N233" i="22"/>
  <c r="F233" i="22"/>
  <c r="X232" i="22"/>
  <c r="P232" i="22"/>
  <c r="N232" i="22"/>
  <c r="F232" i="22"/>
  <c r="Z231" i="22"/>
  <c r="X231" i="22"/>
  <c r="P231" i="22"/>
  <c r="N231" i="22"/>
  <c r="F231" i="22"/>
  <c r="X230" i="22"/>
  <c r="P230" i="22"/>
  <c r="N230" i="22"/>
  <c r="F230" i="22"/>
  <c r="X229" i="22"/>
  <c r="P229" i="22"/>
  <c r="N229" i="22"/>
  <c r="F229" i="22"/>
  <c r="X228" i="22"/>
  <c r="P228" i="22"/>
  <c r="N228" i="22"/>
  <c r="F228" i="22"/>
  <c r="X227" i="22"/>
  <c r="P227" i="22"/>
  <c r="N227" i="22"/>
  <c r="F227" i="22"/>
  <c r="X226" i="22"/>
  <c r="P226" i="22"/>
  <c r="N226" i="22"/>
  <c r="F226" i="22"/>
  <c r="Z225" i="22"/>
  <c r="X225" i="22"/>
  <c r="P225" i="22"/>
  <c r="N225" i="22"/>
  <c r="F225" i="22"/>
  <c r="X224" i="22"/>
  <c r="P224" i="22"/>
  <c r="N224" i="22"/>
  <c r="F224" i="22"/>
  <c r="X223" i="22"/>
  <c r="P223" i="22"/>
  <c r="N223" i="22"/>
  <c r="F223" i="22"/>
  <c r="X222" i="22"/>
  <c r="P222" i="22"/>
  <c r="N222" i="22"/>
  <c r="F222" i="22"/>
  <c r="X221" i="22"/>
  <c r="P221" i="22"/>
  <c r="N221" i="22"/>
  <c r="F221" i="22"/>
  <c r="X220" i="22"/>
  <c r="P220" i="22"/>
  <c r="N220" i="22"/>
  <c r="F220" i="22"/>
  <c r="X219" i="22"/>
  <c r="P219" i="22"/>
  <c r="N219" i="22"/>
  <c r="F219" i="22"/>
  <c r="AA209" i="22"/>
  <c r="L207" i="22"/>
  <c r="B207" i="22"/>
  <c r="P207" i="22" s="1"/>
  <c r="P206" i="22"/>
  <c r="B206" i="22"/>
  <c r="L206" i="22" s="1"/>
  <c r="B205" i="22"/>
  <c r="P205" i="22" s="1"/>
  <c r="B204" i="22"/>
  <c r="S201" i="22"/>
  <c r="B199" i="22"/>
  <c r="L199" i="22" s="1"/>
  <c r="T199" i="22" s="1"/>
  <c r="AA195" i="22"/>
  <c r="Y193" i="22"/>
  <c r="I193" i="22"/>
  <c r="E193" i="22"/>
  <c r="Y192" i="22"/>
  <c r="I192" i="22"/>
  <c r="E192" i="22"/>
  <c r="Y191" i="22"/>
  <c r="I191" i="22"/>
  <c r="E191" i="22"/>
  <c r="Y190" i="22"/>
  <c r="F190" i="22"/>
  <c r="E190" i="22"/>
  <c r="Y189" i="22"/>
  <c r="F189" i="22"/>
  <c r="E189" i="22"/>
  <c r="Y188" i="22"/>
  <c r="F188" i="22"/>
  <c r="E188" i="22"/>
  <c r="Y187" i="22"/>
  <c r="F187" i="22"/>
  <c r="E187" i="22"/>
  <c r="Y186" i="22"/>
  <c r="F186" i="22"/>
  <c r="E186" i="22"/>
  <c r="Y185" i="22"/>
  <c r="I185" i="22"/>
  <c r="E185" i="22"/>
  <c r="Y184" i="22"/>
  <c r="I184" i="22"/>
  <c r="E184" i="22"/>
  <c r="Y183" i="22"/>
  <c r="I183" i="22"/>
  <c r="E183" i="22"/>
  <c r="Y182" i="22"/>
  <c r="F182" i="22"/>
  <c r="E182" i="22"/>
  <c r="Y181" i="22"/>
  <c r="F181" i="22"/>
  <c r="E181" i="22"/>
  <c r="Y180" i="22"/>
  <c r="F180" i="22"/>
  <c r="E180" i="22"/>
  <c r="Y179" i="22"/>
  <c r="F179" i="22"/>
  <c r="E179" i="22"/>
  <c r="Y178" i="22"/>
  <c r="F178" i="22"/>
  <c r="E178" i="22"/>
  <c r="E177" i="22"/>
  <c r="E176" i="22"/>
  <c r="I175" i="22"/>
  <c r="E175" i="22"/>
  <c r="F174" i="22"/>
  <c r="E174" i="22"/>
  <c r="E173" i="22"/>
  <c r="E172" i="22"/>
  <c r="E171" i="22"/>
  <c r="Y170" i="22"/>
  <c r="E170" i="22"/>
  <c r="AA166" i="22"/>
  <c r="I164" i="22"/>
  <c r="F163" i="22"/>
  <c r="W162" i="22"/>
  <c r="F162" i="22"/>
  <c r="E162" i="22"/>
  <c r="Z161" i="22"/>
  <c r="U161" i="22"/>
  <c r="N161" i="22"/>
  <c r="B161" i="22"/>
  <c r="R164" i="22" s="1"/>
  <c r="R160" i="22"/>
  <c r="P160" i="22"/>
  <c r="I160" i="22"/>
  <c r="F159" i="22"/>
  <c r="E159" i="22"/>
  <c r="W158" i="22"/>
  <c r="F158" i="22"/>
  <c r="E158" i="22"/>
  <c r="U157" i="22"/>
  <c r="N157" i="22"/>
  <c r="F157" i="22"/>
  <c r="E157" i="22"/>
  <c r="B157" i="22"/>
  <c r="Z157" i="22" s="1"/>
  <c r="R156" i="22"/>
  <c r="P156" i="22"/>
  <c r="U153" i="22" s="1"/>
  <c r="K156" i="22"/>
  <c r="I156" i="22"/>
  <c r="N153" i="22" s="1"/>
  <c r="W154" i="22" s="1"/>
  <c r="Z153" i="22" s="1"/>
  <c r="F155" i="22"/>
  <c r="E155" i="22"/>
  <c r="F154" i="22"/>
  <c r="E154" i="22"/>
  <c r="F153" i="22"/>
  <c r="E153" i="22"/>
  <c r="I347" i="22" s="1"/>
  <c r="R152" i="22"/>
  <c r="AA147" i="22"/>
  <c r="F145" i="22"/>
  <c r="W145" i="22" s="1"/>
  <c r="Z145" i="22" s="1"/>
  <c r="F144" i="22"/>
  <c r="W144" i="22" s="1"/>
  <c r="Z144" i="22" s="1"/>
  <c r="U143" i="22"/>
  <c r="B143" i="22"/>
  <c r="F143" i="22" s="1"/>
  <c r="W143" i="22" s="1"/>
  <c r="Z143" i="22" s="1"/>
  <c r="W141" i="22"/>
  <c r="Z141" i="22" s="1"/>
  <c r="Q141" i="22"/>
  <c r="F141" i="22"/>
  <c r="B140" i="22"/>
  <c r="U140" i="22" s="1"/>
  <c r="F139" i="22"/>
  <c r="W139" i="22" s="1"/>
  <c r="Z139" i="22" s="1"/>
  <c r="B137" i="22"/>
  <c r="F138" i="22" s="1"/>
  <c r="Q138" i="22" s="1"/>
  <c r="F136" i="22"/>
  <c r="Q136" i="22" s="1"/>
  <c r="F135" i="22"/>
  <c r="Q135" i="22" s="1"/>
  <c r="B134" i="22"/>
  <c r="F134" i="22" s="1"/>
  <c r="Q134" i="22" s="1"/>
  <c r="X130" i="22"/>
  <c r="U128" i="22"/>
  <c r="Q128" i="22"/>
  <c r="U127" i="22"/>
  <c r="Q127" i="22"/>
  <c r="Q126" i="22"/>
  <c r="U126" i="22" s="1"/>
  <c r="B126" i="22"/>
  <c r="AA115" i="22"/>
  <c r="F113" i="22"/>
  <c r="Y113" i="22" s="1"/>
  <c r="O112" i="22"/>
  <c r="F112" i="22"/>
  <c r="Y111" i="22"/>
  <c r="U111" i="22"/>
  <c r="F111" i="22"/>
  <c r="R111" i="22" s="1"/>
  <c r="R110" i="22"/>
  <c r="O110" i="22"/>
  <c r="F110" i="22"/>
  <c r="B110" i="22"/>
  <c r="AA107" i="22"/>
  <c r="V107" i="22"/>
  <c r="U105" i="22"/>
  <c r="R105" i="22"/>
  <c r="O105" i="22"/>
  <c r="F105" i="22"/>
  <c r="O99" i="22"/>
  <c r="R99" i="22" s="1"/>
  <c r="F99" i="22"/>
  <c r="F98" i="22"/>
  <c r="F97" i="22"/>
  <c r="U97" i="22" s="1"/>
  <c r="F96" i="22"/>
  <c r="O96" i="22" s="1"/>
  <c r="R96" i="22" s="1"/>
  <c r="AA93" i="22"/>
  <c r="V93" i="22"/>
  <c r="U91" i="22"/>
  <c r="R91" i="22"/>
  <c r="O91" i="22"/>
  <c r="F91" i="22"/>
  <c r="AA86" i="22"/>
  <c r="F84" i="22"/>
  <c r="F83" i="22"/>
  <c r="X82" i="22"/>
  <c r="V82" i="22"/>
  <c r="T82" i="22"/>
  <c r="P82" i="22"/>
  <c r="N82" i="22"/>
  <c r="L82" i="22"/>
  <c r="J82" i="22"/>
  <c r="H82" i="22"/>
  <c r="F82" i="22"/>
  <c r="E82" i="22"/>
  <c r="X81" i="22"/>
  <c r="V81" i="22"/>
  <c r="T81" i="22"/>
  <c r="P81" i="22"/>
  <c r="N81" i="22"/>
  <c r="L81" i="22"/>
  <c r="J81" i="22"/>
  <c r="H81" i="22"/>
  <c r="F81" i="22"/>
  <c r="E81" i="22"/>
  <c r="X80" i="22"/>
  <c r="V80" i="22"/>
  <c r="T80" i="22"/>
  <c r="P80" i="22"/>
  <c r="N80" i="22"/>
  <c r="L80" i="22"/>
  <c r="J80" i="22"/>
  <c r="H80" i="22"/>
  <c r="F80" i="22"/>
  <c r="E80" i="22"/>
  <c r="F79" i="22"/>
  <c r="F78" i="22"/>
  <c r="X77" i="22"/>
  <c r="V77" i="22"/>
  <c r="T77" i="22"/>
  <c r="P77" i="22"/>
  <c r="N77" i="22"/>
  <c r="L77" i="22"/>
  <c r="J77" i="22"/>
  <c r="H77" i="22"/>
  <c r="F77" i="22"/>
  <c r="E77" i="22"/>
  <c r="X76" i="22"/>
  <c r="V76" i="22"/>
  <c r="T76" i="22"/>
  <c r="P76" i="22"/>
  <c r="N76" i="22"/>
  <c r="L76" i="22"/>
  <c r="J76" i="22"/>
  <c r="H76" i="22"/>
  <c r="F76" i="22"/>
  <c r="E76" i="22"/>
  <c r="X75" i="22"/>
  <c r="V75" i="22"/>
  <c r="T75" i="22"/>
  <c r="P75" i="22"/>
  <c r="N75" i="22"/>
  <c r="L75" i="22"/>
  <c r="J75" i="22"/>
  <c r="H75" i="22"/>
  <c r="F75" i="22"/>
  <c r="E75" i="22"/>
  <c r="F74" i="22"/>
  <c r="F73" i="22"/>
  <c r="F72" i="22"/>
  <c r="E72" i="22" s="1"/>
  <c r="P71" i="22"/>
  <c r="N71" i="22"/>
  <c r="L71" i="22"/>
  <c r="F71" i="22"/>
  <c r="E71" i="22"/>
  <c r="J71" i="22" s="1"/>
  <c r="N70" i="22"/>
  <c r="L70" i="22"/>
  <c r="J70" i="22"/>
  <c r="H70" i="22"/>
  <c r="F70" i="22"/>
  <c r="E70" i="22"/>
  <c r="AA65" i="22"/>
  <c r="V63" i="22"/>
  <c r="L63" i="22"/>
  <c r="F63" i="22"/>
  <c r="E63" i="22"/>
  <c r="F62" i="22"/>
  <c r="V62" i="22" s="1"/>
  <c r="E62" i="22"/>
  <c r="Z61" i="22"/>
  <c r="V61" i="22"/>
  <c r="P61" i="22"/>
  <c r="N61" i="22"/>
  <c r="L61" i="22"/>
  <c r="F61" i="22"/>
  <c r="X61" i="22" s="1"/>
  <c r="E61" i="22"/>
  <c r="F60" i="22"/>
  <c r="V60" i="22" s="1"/>
  <c r="E60" i="22"/>
  <c r="V59" i="22"/>
  <c r="F59" i="22"/>
  <c r="L59" i="22" s="1"/>
  <c r="E59" i="22"/>
  <c r="Z58" i="22"/>
  <c r="F58" i="22"/>
  <c r="L58" i="22" s="1"/>
  <c r="E58" i="22"/>
  <c r="V57" i="22"/>
  <c r="F57" i="22"/>
  <c r="L57" i="22" s="1"/>
  <c r="E57" i="22"/>
  <c r="V56" i="22"/>
  <c r="L56" i="22"/>
  <c r="F56" i="22"/>
  <c r="E56" i="22"/>
  <c r="X55" i="22"/>
  <c r="V55" i="22"/>
  <c r="N55" i="22"/>
  <c r="P55" i="22" s="1"/>
  <c r="Z55" i="22" s="1"/>
  <c r="F55" i="22"/>
  <c r="L55" i="22" s="1"/>
  <c r="E55" i="22"/>
  <c r="AA43" i="22"/>
  <c r="Z37" i="22"/>
  <c r="Z36" i="22"/>
  <c r="Z35" i="22"/>
  <c r="Z34" i="22"/>
  <c r="Z33" i="22"/>
  <c r="Z32" i="22"/>
  <c r="N30" i="22" s="1"/>
  <c r="R29" i="22"/>
  <c r="X27" i="22"/>
  <c r="Z27" i="22" s="1"/>
  <c r="L25" i="22"/>
  <c r="T21" i="22"/>
  <c r="S21" i="22"/>
  <c r="R21" i="22"/>
  <c r="T20" i="22"/>
  <c r="S20" i="22"/>
  <c r="R20" i="22"/>
  <c r="Q20" i="22"/>
  <c r="P20" i="22"/>
  <c r="K363" i="22" s="1"/>
  <c r="O20" i="22"/>
  <c r="T19" i="22"/>
  <c r="S19" i="22"/>
  <c r="R19" i="22"/>
  <c r="Q19" i="22"/>
  <c r="P19" i="22"/>
  <c r="S359" i="22" s="1"/>
  <c r="O19" i="22"/>
  <c r="T18" i="22"/>
  <c r="S18" i="22"/>
  <c r="F173" i="22" s="1"/>
  <c r="R18" i="22"/>
  <c r="Q18" i="22"/>
  <c r="P18" i="22"/>
  <c r="P72" i="22" s="1"/>
  <c r="O18" i="22"/>
  <c r="F172" i="22" s="1"/>
  <c r="T17" i="22"/>
  <c r="S17" i="22"/>
  <c r="I177" i="22" s="1"/>
  <c r="R17" i="22"/>
  <c r="Q17" i="22"/>
  <c r="P17" i="22"/>
  <c r="O17" i="22"/>
  <c r="T16" i="22"/>
  <c r="S16" i="22"/>
  <c r="R16" i="22"/>
  <c r="Q16" i="22"/>
  <c r="P16" i="22"/>
  <c r="O16" i="22"/>
  <c r="F170" i="22" s="1"/>
  <c r="T15" i="22"/>
  <c r="S15" i="22"/>
  <c r="R15" i="22"/>
  <c r="X9" i="22"/>
  <c r="S9" i="22"/>
  <c r="S8" i="22"/>
  <c r="T7" i="22"/>
  <c r="W5" i="22"/>
  <c r="U5" i="22"/>
  <c r="R5" i="22"/>
  <c r="P5" i="22"/>
  <c r="Y420" i="21"/>
  <c r="E420" i="21"/>
  <c r="Y419" i="21"/>
  <c r="E419" i="21"/>
  <c r="Y418" i="21"/>
  <c r="F418" i="21"/>
  <c r="E418" i="21"/>
  <c r="U417" i="21"/>
  <c r="Q417" i="21"/>
  <c r="M417" i="21"/>
  <c r="I417" i="21"/>
  <c r="F416" i="21"/>
  <c r="F420" i="21" s="1"/>
  <c r="Y415" i="21"/>
  <c r="S415" i="21"/>
  <c r="Q415" i="21"/>
  <c r="K415" i="21"/>
  <c r="I415" i="21"/>
  <c r="F415" i="21"/>
  <c r="E415" i="21"/>
  <c r="W414" i="21"/>
  <c r="S414" i="21"/>
  <c r="O414" i="21"/>
  <c r="K414" i="21"/>
  <c r="I414" i="21"/>
  <c r="F414" i="21"/>
  <c r="U413" i="21"/>
  <c r="Q413" i="21"/>
  <c r="M413" i="21"/>
  <c r="I413" i="21"/>
  <c r="F412" i="21"/>
  <c r="F419" i="21" s="1"/>
  <c r="Y411" i="21"/>
  <c r="S411" i="21"/>
  <c r="Q411" i="21"/>
  <c r="Q414" i="21" s="1"/>
  <c r="K411" i="21"/>
  <c r="I411" i="21"/>
  <c r="F411" i="21"/>
  <c r="E411" i="21"/>
  <c r="W410" i="21"/>
  <c r="S410" i="21"/>
  <c r="O410" i="21"/>
  <c r="K410" i="21"/>
  <c r="F410" i="21"/>
  <c r="U409" i="21"/>
  <c r="Q409" i="21"/>
  <c r="M409" i="21"/>
  <c r="I409" i="21"/>
  <c r="F408" i="21"/>
  <c r="Y407" i="21"/>
  <c r="S407" i="21"/>
  <c r="Q407" i="21"/>
  <c r="Q410" i="21" s="1"/>
  <c r="K407" i="21"/>
  <c r="I407" i="21"/>
  <c r="I410" i="21" s="1"/>
  <c r="F407" i="21"/>
  <c r="E407" i="21"/>
  <c r="W406" i="21"/>
  <c r="S406" i="21"/>
  <c r="O406" i="21"/>
  <c r="K406" i="21"/>
  <c r="F406" i="21"/>
  <c r="U405" i="21"/>
  <c r="Q405" i="21"/>
  <c r="M405" i="21"/>
  <c r="I405" i="21"/>
  <c r="F404" i="21"/>
  <c r="Y403" i="21"/>
  <c r="S403" i="21"/>
  <c r="K403" i="21"/>
  <c r="F403" i="21"/>
  <c r="E403" i="21"/>
  <c r="W402" i="21"/>
  <c r="S402" i="21"/>
  <c r="Q402" i="21"/>
  <c r="O402" i="21"/>
  <c r="K402" i="21"/>
  <c r="F402" i="21"/>
  <c r="U401" i="21"/>
  <c r="Q401" i="21"/>
  <c r="M401" i="21"/>
  <c r="I401" i="21"/>
  <c r="U400" i="21"/>
  <c r="Q400" i="21"/>
  <c r="Q403" i="21" s="1"/>
  <c r="Q406" i="21" s="1"/>
  <c r="M400" i="21"/>
  <c r="I400" i="21"/>
  <c r="I403" i="21" s="1"/>
  <c r="I406" i="21" s="1"/>
  <c r="F400" i="21"/>
  <c r="E400" i="21"/>
  <c r="Y399" i="21"/>
  <c r="U399" i="21"/>
  <c r="S399" i="21"/>
  <c r="Q399" i="21"/>
  <c r="M399" i="21"/>
  <c r="K399" i="21"/>
  <c r="I399" i="21"/>
  <c r="I402" i="21" s="1"/>
  <c r="F399" i="21"/>
  <c r="E399" i="21"/>
  <c r="W398" i="21"/>
  <c r="U398" i="21"/>
  <c r="S398" i="21"/>
  <c r="Q398" i="21"/>
  <c r="O398" i="21"/>
  <c r="M398" i="21"/>
  <c r="K398" i="21"/>
  <c r="I398" i="21"/>
  <c r="F398" i="21"/>
  <c r="E398" i="21"/>
  <c r="AA394" i="21"/>
  <c r="E392" i="21"/>
  <c r="E391" i="21"/>
  <c r="E390" i="21"/>
  <c r="U389" i="21"/>
  <c r="M389" i="21"/>
  <c r="F388" i="21"/>
  <c r="F392" i="21" s="1"/>
  <c r="S387" i="21"/>
  <c r="Q387" i="21"/>
  <c r="K387" i="21"/>
  <c r="I387" i="21"/>
  <c r="F387" i="21"/>
  <c r="E387" i="21" s="1"/>
  <c r="F386" i="21"/>
  <c r="U385" i="21"/>
  <c r="M385" i="21"/>
  <c r="F384" i="21"/>
  <c r="S383" i="21"/>
  <c r="Q383" i="21"/>
  <c r="Q386" i="21" s="1"/>
  <c r="Q389" i="21" s="1"/>
  <c r="W386" i="21" s="1"/>
  <c r="K383" i="21"/>
  <c r="I383" i="21"/>
  <c r="I386" i="21" s="1"/>
  <c r="I389" i="21" s="1"/>
  <c r="F383" i="21"/>
  <c r="E383" i="21" s="1"/>
  <c r="I382" i="21"/>
  <c r="I385" i="21" s="1"/>
  <c r="O382" i="21" s="1"/>
  <c r="F382" i="21"/>
  <c r="U381" i="21"/>
  <c r="M381" i="21"/>
  <c r="F380" i="21"/>
  <c r="F390" i="21" s="1"/>
  <c r="S379" i="21"/>
  <c r="Q379" i="21"/>
  <c r="Q382" i="21" s="1"/>
  <c r="K379" i="21"/>
  <c r="I379" i="21"/>
  <c r="F379" i="21"/>
  <c r="E379" i="21"/>
  <c r="F378" i="21"/>
  <c r="U377" i="21"/>
  <c r="M377" i="21"/>
  <c r="F376" i="21"/>
  <c r="S375" i="21"/>
  <c r="K375" i="21"/>
  <c r="F375" i="21"/>
  <c r="E375" i="21"/>
  <c r="F374" i="21"/>
  <c r="F372" i="21"/>
  <c r="E372" i="21"/>
  <c r="S371" i="21"/>
  <c r="K371" i="21"/>
  <c r="F371" i="21"/>
  <c r="E371" i="21"/>
  <c r="S370" i="21"/>
  <c r="F370" i="21"/>
  <c r="E370" i="21" s="1"/>
  <c r="E369" i="21"/>
  <c r="E368" i="21"/>
  <c r="E367" i="21"/>
  <c r="U366" i="21"/>
  <c r="M366" i="21"/>
  <c r="F365" i="21"/>
  <c r="F369" i="21" s="1"/>
  <c r="S364" i="21"/>
  <c r="Q364" i="21"/>
  <c r="Q366" i="21" s="1"/>
  <c r="W363" i="21" s="1"/>
  <c r="K364" i="21"/>
  <c r="I364" i="21"/>
  <c r="F364" i="21"/>
  <c r="E364" i="21" s="1"/>
  <c r="S363" i="21"/>
  <c r="Q363" i="21"/>
  <c r="F363" i="21"/>
  <c r="U362" i="21"/>
  <c r="Q362" i="21"/>
  <c r="W359" i="21" s="1"/>
  <c r="M362" i="21"/>
  <c r="I362" i="21"/>
  <c r="O359" i="21" s="1"/>
  <c r="Y360" i="21" s="1"/>
  <c r="F361" i="21"/>
  <c r="S360" i="21"/>
  <c r="Q360" i="21"/>
  <c r="K360" i="21"/>
  <c r="I360" i="21"/>
  <c r="I363" i="21" s="1"/>
  <c r="I366" i="21" s="1"/>
  <c r="F360" i="21"/>
  <c r="E360" i="21"/>
  <c r="F359" i="21"/>
  <c r="U358" i="21"/>
  <c r="M358" i="21"/>
  <c r="F357" i="21"/>
  <c r="S356" i="21"/>
  <c r="Q356" i="21"/>
  <c r="Q359" i="21" s="1"/>
  <c r="K356" i="21"/>
  <c r="I356" i="21"/>
  <c r="I359" i="21" s="1"/>
  <c r="F356" i="21"/>
  <c r="E356" i="21"/>
  <c r="F355" i="21"/>
  <c r="U354" i="21"/>
  <c r="M354" i="21"/>
  <c r="F353" i="21"/>
  <c r="S352" i="21"/>
  <c r="K352" i="21"/>
  <c r="F352" i="21"/>
  <c r="E352" i="21"/>
  <c r="F351" i="21"/>
  <c r="F349" i="21"/>
  <c r="E349" i="21"/>
  <c r="S348" i="21"/>
  <c r="K348" i="21"/>
  <c r="F348" i="21"/>
  <c r="E348" i="21"/>
  <c r="S347" i="21"/>
  <c r="F347" i="21"/>
  <c r="E347" i="21"/>
  <c r="AA342" i="21"/>
  <c r="W340" i="21"/>
  <c r="B340" i="21"/>
  <c r="B339" i="21"/>
  <c r="W339" i="21" s="1"/>
  <c r="AA336" i="21"/>
  <c r="G335" i="21"/>
  <c r="W334" i="21"/>
  <c r="B334" i="21"/>
  <c r="W333" i="21"/>
  <c r="B333" i="21"/>
  <c r="B332" i="21"/>
  <c r="AA322" i="21"/>
  <c r="S320" i="21"/>
  <c r="K320" i="21"/>
  <c r="D320" i="21"/>
  <c r="Q319" i="21"/>
  <c r="O319" i="21"/>
  <c r="I319" i="21"/>
  <c r="D319" i="21"/>
  <c r="D318" i="21"/>
  <c r="D317" i="21"/>
  <c r="G316" i="21"/>
  <c r="D316" i="21"/>
  <c r="O315" i="21"/>
  <c r="D315" i="21"/>
  <c r="Q316" i="21" s="1"/>
  <c r="AA311" i="21"/>
  <c r="S310" i="21"/>
  <c r="B310" i="21"/>
  <c r="K310" i="21" s="1"/>
  <c r="B309" i="21"/>
  <c r="B308" i="21"/>
  <c r="W302" i="21"/>
  <c r="O302" i="21"/>
  <c r="B302" i="21"/>
  <c r="R302" i="21" s="1"/>
  <c r="W301" i="21"/>
  <c r="R301" i="21"/>
  <c r="O301" i="21"/>
  <c r="L301" i="21"/>
  <c r="B301" i="21"/>
  <c r="B300" i="21"/>
  <c r="O300" i="21" s="1"/>
  <c r="B299" i="21"/>
  <c r="Y296" i="21"/>
  <c r="S296" i="21"/>
  <c r="B294" i="21"/>
  <c r="AA286" i="21"/>
  <c r="F282" i="21"/>
  <c r="S282" i="21" s="1"/>
  <c r="B282" i="21"/>
  <c r="Q282" i="21" s="1"/>
  <c r="F280" i="21"/>
  <c r="S280" i="21" s="1"/>
  <c r="F279" i="21"/>
  <c r="S279" i="21" s="1"/>
  <c r="B279" i="21"/>
  <c r="F278" i="21"/>
  <c r="Y277" i="21"/>
  <c r="S277" i="21"/>
  <c r="F277" i="21"/>
  <c r="F283" i="21" s="1"/>
  <c r="S283" i="21" s="1"/>
  <c r="S276" i="21"/>
  <c r="F276" i="21"/>
  <c r="B276" i="21"/>
  <c r="F275" i="21"/>
  <c r="F274" i="21"/>
  <c r="F273" i="21"/>
  <c r="B273" i="21"/>
  <c r="Q271" i="21"/>
  <c r="B270" i="21"/>
  <c r="Q270" i="21" s="1"/>
  <c r="AA265" i="21"/>
  <c r="X263" i="21"/>
  <c r="P263" i="21"/>
  <c r="N263" i="21"/>
  <c r="F263" i="21"/>
  <c r="X262" i="21"/>
  <c r="P262" i="21"/>
  <c r="N262" i="21"/>
  <c r="F262" i="21"/>
  <c r="X261" i="21"/>
  <c r="P261" i="21"/>
  <c r="N261" i="21"/>
  <c r="F261" i="21"/>
  <c r="X260" i="21"/>
  <c r="P260" i="21"/>
  <c r="N260" i="21"/>
  <c r="F260" i="21"/>
  <c r="X259" i="21"/>
  <c r="P259" i="21"/>
  <c r="N259" i="21"/>
  <c r="F259" i="21"/>
  <c r="Z258" i="21"/>
  <c r="X258" i="21"/>
  <c r="P258" i="21"/>
  <c r="N258" i="21"/>
  <c r="F258" i="21"/>
  <c r="X257" i="21"/>
  <c r="P257" i="21"/>
  <c r="N257" i="21"/>
  <c r="F257" i="21"/>
  <c r="X256" i="21"/>
  <c r="P256" i="21"/>
  <c r="N256" i="21"/>
  <c r="F256" i="21"/>
  <c r="X255" i="21"/>
  <c r="P255" i="21"/>
  <c r="N255" i="21"/>
  <c r="F255" i="21"/>
  <c r="X254" i="21"/>
  <c r="P254" i="21"/>
  <c r="N254" i="21"/>
  <c r="F254" i="21"/>
  <c r="X253" i="21"/>
  <c r="P253" i="21"/>
  <c r="N253" i="21"/>
  <c r="F253" i="21"/>
  <c r="Z252" i="21"/>
  <c r="X252" i="21"/>
  <c r="P252" i="21"/>
  <c r="N252" i="21"/>
  <c r="F252" i="21"/>
  <c r="X251" i="21"/>
  <c r="P251" i="21"/>
  <c r="N251" i="21"/>
  <c r="F251" i="21"/>
  <c r="X250" i="21"/>
  <c r="P250" i="21"/>
  <c r="N250" i="21"/>
  <c r="F250" i="21"/>
  <c r="X249" i="21"/>
  <c r="P249" i="21"/>
  <c r="N249" i="21"/>
  <c r="F249" i="21"/>
  <c r="X248" i="21"/>
  <c r="P248" i="21"/>
  <c r="N248" i="21"/>
  <c r="F248" i="21"/>
  <c r="X247" i="21"/>
  <c r="P247" i="21"/>
  <c r="N247" i="21"/>
  <c r="F247" i="21"/>
  <c r="Z246" i="21"/>
  <c r="X246" i="21"/>
  <c r="P246" i="21"/>
  <c r="N246" i="21"/>
  <c r="F246" i="21"/>
  <c r="AA241" i="21"/>
  <c r="AA238" i="21"/>
  <c r="X236" i="21"/>
  <c r="P236" i="21"/>
  <c r="N236" i="21"/>
  <c r="F236" i="21"/>
  <c r="X235" i="21"/>
  <c r="P235" i="21"/>
  <c r="N235" i="21"/>
  <c r="F235" i="21"/>
  <c r="X234" i="21"/>
  <c r="P234" i="21"/>
  <c r="N234" i="21"/>
  <c r="F234" i="21"/>
  <c r="X233" i="21"/>
  <c r="P233" i="21"/>
  <c r="N233" i="21"/>
  <c r="F233" i="21"/>
  <c r="X232" i="21"/>
  <c r="P232" i="21"/>
  <c r="N232" i="21"/>
  <c r="F232" i="21"/>
  <c r="X231" i="21"/>
  <c r="P231" i="21"/>
  <c r="N231" i="21"/>
  <c r="F231" i="21"/>
  <c r="X230" i="21"/>
  <c r="P230" i="21"/>
  <c r="N230" i="21"/>
  <c r="F230" i="21"/>
  <c r="X229" i="21"/>
  <c r="P229" i="21"/>
  <c r="N229" i="21"/>
  <c r="F229" i="21"/>
  <c r="X228" i="21"/>
  <c r="P228" i="21"/>
  <c r="N228" i="21"/>
  <c r="F228" i="21"/>
  <c r="X227" i="21"/>
  <c r="P227" i="21"/>
  <c r="N227" i="21"/>
  <c r="F227" i="21"/>
  <c r="X226" i="21"/>
  <c r="P226" i="21"/>
  <c r="N226" i="21"/>
  <c r="F226" i="21"/>
  <c r="X225" i="21"/>
  <c r="P225" i="21"/>
  <c r="N225" i="21"/>
  <c r="F225" i="21"/>
  <c r="X224" i="21"/>
  <c r="P224" i="21"/>
  <c r="N224" i="21"/>
  <c r="F224" i="21"/>
  <c r="X223" i="21"/>
  <c r="P223" i="21"/>
  <c r="N223" i="21"/>
  <c r="F223" i="21"/>
  <c r="X222" i="21"/>
  <c r="P222" i="21"/>
  <c r="N222" i="21"/>
  <c r="F222" i="21"/>
  <c r="X221" i="21"/>
  <c r="P221" i="21"/>
  <c r="N221" i="21"/>
  <c r="F221" i="21"/>
  <c r="X220" i="21"/>
  <c r="P220" i="21"/>
  <c r="N220" i="21"/>
  <c r="F220" i="21"/>
  <c r="X219" i="21"/>
  <c r="P219" i="21"/>
  <c r="N219" i="21"/>
  <c r="F219" i="21"/>
  <c r="AA209" i="21"/>
  <c r="B207" i="21"/>
  <c r="P207" i="21" s="1"/>
  <c r="P206" i="21"/>
  <c r="B206" i="21"/>
  <c r="B205" i="21"/>
  <c r="B204" i="21"/>
  <c r="S201" i="21"/>
  <c r="B199" i="21"/>
  <c r="L199" i="21" s="1"/>
  <c r="T199" i="21" s="1"/>
  <c r="AA195" i="21"/>
  <c r="Y193" i="21"/>
  <c r="I193" i="21"/>
  <c r="E193" i="21"/>
  <c r="Y192" i="21"/>
  <c r="I192" i="21"/>
  <c r="E192" i="21"/>
  <c r="Y191" i="21"/>
  <c r="I191" i="21"/>
  <c r="E191" i="21"/>
  <c r="Y190" i="21"/>
  <c r="F190" i="21"/>
  <c r="E190" i="21"/>
  <c r="Y189" i="21"/>
  <c r="F189" i="21"/>
  <c r="E189" i="21"/>
  <c r="Y188" i="21"/>
  <c r="F188" i="21"/>
  <c r="E188" i="21"/>
  <c r="Y187" i="21"/>
  <c r="F187" i="21"/>
  <c r="E187" i="21"/>
  <c r="Y186" i="21"/>
  <c r="F186" i="21"/>
  <c r="E186" i="21"/>
  <c r="E185" i="21"/>
  <c r="E184" i="21"/>
  <c r="E183" i="21"/>
  <c r="F182" i="21"/>
  <c r="E182" i="21"/>
  <c r="E181" i="21"/>
  <c r="E180" i="21"/>
  <c r="E179" i="21"/>
  <c r="E178" i="21"/>
  <c r="E177" i="21"/>
  <c r="E176" i="21"/>
  <c r="E175" i="21"/>
  <c r="E174" i="21"/>
  <c r="E173" i="21"/>
  <c r="E172" i="21"/>
  <c r="E171" i="21"/>
  <c r="E170" i="21"/>
  <c r="AA166" i="21"/>
  <c r="R164" i="21"/>
  <c r="P164" i="21"/>
  <c r="I164" i="21"/>
  <c r="F163" i="21"/>
  <c r="E163" i="21"/>
  <c r="F162" i="21"/>
  <c r="E162" i="21" s="1"/>
  <c r="U161" i="21"/>
  <c r="F161" i="21"/>
  <c r="E161" i="21" s="1"/>
  <c r="B161" i="21"/>
  <c r="K164" i="21" s="1"/>
  <c r="N161" i="21" s="1"/>
  <c r="W162" i="21" s="1"/>
  <c r="Z161" i="21" s="1"/>
  <c r="P160" i="21"/>
  <c r="K160" i="21"/>
  <c r="F159" i="21"/>
  <c r="F158" i="21"/>
  <c r="E158" i="21"/>
  <c r="B157" i="21"/>
  <c r="R156" i="21"/>
  <c r="P156" i="21"/>
  <c r="U153" i="21" s="1"/>
  <c r="K156" i="21"/>
  <c r="I156" i="21"/>
  <c r="N153" i="21" s="1"/>
  <c r="W154" i="21" s="1"/>
  <c r="Z153" i="21" s="1"/>
  <c r="F155" i="21"/>
  <c r="E155" i="21"/>
  <c r="F154" i="21"/>
  <c r="E154" i="21" s="1"/>
  <c r="F153" i="21"/>
  <c r="E153" i="21"/>
  <c r="AA147" i="21"/>
  <c r="F145" i="21"/>
  <c r="W145" i="21" s="1"/>
  <c r="F144" i="21"/>
  <c r="Q144" i="21" s="1"/>
  <c r="W143" i="21"/>
  <c r="Q143" i="21"/>
  <c r="F143" i="21"/>
  <c r="B143" i="21"/>
  <c r="U145" i="21" s="1"/>
  <c r="B140" i="21"/>
  <c r="U142" i="21" s="1"/>
  <c r="B137" i="21"/>
  <c r="F136" i="21"/>
  <c r="Q136" i="21" s="1"/>
  <c r="F135" i="21"/>
  <c r="Q135" i="21" s="1"/>
  <c r="Q134" i="21"/>
  <c r="F134" i="21"/>
  <c r="B134" i="21"/>
  <c r="X130" i="21"/>
  <c r="U128" i="21"/>
  <c r="Q128" i="21"/>
  <c r="Q127" i="21"/>
  <c r="U127" i="21" s="1"/>
  <c r="Q126" i="21"/>
  <c r="U126" i="21" s="1"/>
  <c r="B126" i="21"/>
  <c r="AA115" i="21"/>
  <c r="F113" i="21"/>
  <c r="O112" i="21"/>
  <c r="R112" i="21" s="1"/>
  <c r="F112" i="21"/>
  <c r="O110" i="21"/>
  <c r="F110" i="21"/>
  <c r="AA107" i="21"/>
  <c r="V107" i="21"/>
  <c r="U105" i="21"/>
  <c r="O105" i="21"/>
  <c r="R105" i="21" s="1"/>
  <c r="F105" i="21"/>
  <c r="F111" i="21" s="1"/>
  <c r="O99" i="21"/>
  <c r="F99" i="21"/>
  <c r="O98" i="21"/>
  <c r="R98" i="21" s="1"/>
  <c r="F98" i="21"/>
  <c r="F97" i="21"/>
  <c r="U97" i="21" s="1"/>
  <c r="O96" i="21"/>
  <c r="R96" i="21" s="1"/>
  <c r="F96" i="21"/>
  <c r="AA93" i="21"/>
  <c r="V93" i="21"/>
  <c r="U91" i="21"/>
  <c r="O91" i="21"/>
  <c r="R91" i="21" s="1"/>
  <c r="F91" i="21"/>
  <c r="AA86" i="21"/>
  <c r="F84" i="21"/>
  <c r="F83" i="21"/>
  <c r="X82" i="21"/>
  <c r="V82" i="21"/>
  <c r="T82" i="21"/>
  <c r="P82" i="21"/>
  <c r="N82" i="21"/>
  <c r="L82" i="21"/>
  <c r="J82" i="21"/>
  <c r="H82" i="21"/>
  <c r="F82" i="21"/>
  <c r="E82" i="21"/>
  <c r="X81" i="21"/>
  <c r="V81" i="21"/>
  <c r="T81" i="21"/>
  <c r="P81" i="21"/>
  <c r="N81" i="21"/>
  <c r="L81" i="21"/>
  <c r="J81" i="21"/>
  <c r="H81" i="21"/>
  <c r="F81" i="21"/>
  <c r="E81" i="21"/>
  <c r="X80" i="21"/>
  <c r="V80" i="21"/>
  <c r="T80" i="21"/>
  <c r="P80" i="21"/>
  <c r="N80" i="21"/>
  <c r="L80" i="21"/>
  <c r="J80" i="21"/>
  <c r="H80" i="21"/>
  <c r="F80" i="21"/>
  <c r="E80" i="21"/>
  <c r="F79" i="21"/>
  <c r="F78" i="21"/>
  <c r="F77" i="21"/>
  <c r="E77" i="21"/>
  <c r="F76" i="21"/>
  <c r="E76" i="21"/>
  <c r="P75" i="21"/>
  <c r="F75" i="21"/>
  <c r="E75" i="21"/>
  <c r="F74" i="21"/>
  <c r="F73" i="21"/>
  <c r="P72" i="21"/>
  <c r="F72" i="21"/>
  <c r="E72" i="21"/>
  <c r="H72" i="21" s="1"/>
  <c r="F71" i="21"/>
  <c r="E71" i="21"/>
  <c r="P70" i="21"/>
  <c r="N70" i="21"/>
  <c r="L70" i="21"/>
  <c r="J70" i="21"/>
  <c r="F70" i="21"/>
  <c r="E70" i="21" s="1"/>
  <c r="H70" i="21" s="1"/>
  <c r="AA65" i="21"/>
  <c r="V63" i="21"/>
  <c r="F63" i="21"/>
  <c r="E63" i="21" s="1"/>
  <c r="F62" i="21"/>
  <c r="V62" i="21" s="1"/>
  <c r="E62" i="21"/>
  <c r="X61" i="21"/>
  <c r="F61" i="21"/>
  <c r="V60" i="21"/>
  <c r="F60" i="21"/>
  <c r="L60" i="21" s="1"/>
  <c r="E60" i="21"/>
  <c r="V59" i="21"/>
  <c r="L59" i="21"/>
  <c r="F59" i="21"/>
  <c r="E59" i="21" s="1"/>
  <c r="F58" i="21"/>
  <c r="L58" i="21" s="1"/>
  <c r="V57" i="21"/>
  <c r="L57" i="21"/>
  <c r="F57" i="21"/>
  <c r="E57" i="21" s="1"/>
  <c r="F56" i="21"/>
  <c r="E56" i="21" s="1"/>
  <c r="L71" i="21" s="1"/>
  <c r="X55" i="21"/>
  <c r="V55" i="21"/>
  <c r="N55" i="21"/>
  <c r="P55" i="21" s="1"/>
  <c r="Z55" i="21" s="1"/>
  <c r="L55" i="21"/>
  <c r="F55" i="21"/>
  <c r="E55" i="21" s="1"/>
  <c r="AA43" i="21"/>
  <c r="Z37" i="21"/>
  <c r="Z36" i="21"/>
  <c r="Z35" i="21"/>
  <c r="Z34" i="21"/>
  <c r="Z33" i="21"/>
  <c r="Z32" i="21"/>
  <c r="N30" i="21"/>
  <c r="R29" i="21"/>
  <c r="Z27" i="21"/>
  <c r="X27" i="21"/>
  <c r="L25" i="21"/>
  <c r="T21" i="21"/>
  <c r="S21" i="21"/>
  <c r="R21" i="21"/>
  <c r="T20" i="21"/>
  <c r="S20" i="21"/>
  <c r="R20" i="21"/>
  <c r="Q20" i="21"/>
  <c r="Q284" i="21" s="1"/>
  <c r="P20" i="21"/>
  <c r="K363" i="21" s="1"/>
  <c r="O20" i="21"/>
  <c r="T19" i="21"/>
  <c r="S19" i="21"/>
  <c r="F174" i="21" s="1"/>
  <c r="R19" i="21"/>
  <c r="Q19" i="21"/>
  <c r="P19" i="21"/>
  <c r="S382" i="21" s="1"/>
  <c r="O19" i="21"/>
  <c r="T18" i="21"/>
  <c r="S18" i="21"/>
  <c r="R18" i="21"/>
  <c r="Q18" i="21"/>
  <c r="Q278" i="21" s="1"/>
  <c r="P18" i="21"/>
  <c r="O18" i="21"/>
  <c r="T17" i="21"/>
  <c r="F178" i="21" s="1"/>
  <c r="S17" i="21"/>
  <c r="R17" i="21"/>
  <c r="Q17" i="21"/>
  <c r="P17" i="21"/>
  <c r="K374" i="21" s="1"/>
  <c r="O17" i="21"/>
  <c r="T16" i="21"/>
  <c r="S16" i="21"/>
  <c r="R16" i="21"/>
  <c r="Q16" i="21"/>
  <c r="P16" i="21"/>
  <c r="K152" i="21" s="1"/>
  <c r="O16" i="21"/>
  <c r="T15" i="21"/>
  <c r="S15" i="21"/>
  <c r="R15" i="21"/>
  <c r="X9" i="21"/>
  <c r="S9" i="21"/>
  <c r="S8" i="21"/>
  <c r="T7" i="21"/>
  <c r="Y5" i="21"/>
  <c r="W5" i="21"/>
  <c r="U5" i="21"/>
  <c r="T5" i="21"/>
  <c r="R5" i="21"/>
  <c r="P5" i="21"/>
  <c r="V107" i="19"/>
  <c r="AA107" i="19"/>
  <c r="B161" i="19"/>
  <c r="B157" i="19"/>
  <c r="V284" i="22" l="1"/>
  <c r="Y284" i="22"/>
  <c r="T71" i="22"/>
  <c r="O299" i="22"/>
  <c r="Y279" i="22"/>
  <c r="V279" i="22"/>
  <c r="Q349" i="22"/>
  <c r="Q352" i="22" s="1"/>
  <c r="Q355" i="22" s="1"/>
  <c r="Q358" i="22" s="1"/>
  <c r="W355" i="22" s="1"/>
  <c r="U349" i="22"/>
  <c r="U350" i="22" s="1"/>
  <c r="I349" i="22"/>
  <c r="I352" i="22" s="1"/>
  <c r="I355" i="22" s="1"/>
  <c r="I358" i="22" s="1"/>
  <c r="O355" i="22" s="1"/>
  <c r="Y356" i="22" s="1"/>
  <c r="Y369" i="22" s="1"/>
  <c r="Y177" i="22"/>
  <c r="Y173" i="22"/>
  <c r="M349" i="22"/>
  <c r="L62" i="22"/>
  <c r="K335" i="22"/>
  <c r="W335" i="22"/>
  <c r="S335" i="22"/>
  <c r="O335" i="22"/>
  <c r="G335" i="22"/>
  <c r="W332" i="22"/>
  <c r="L60" i="22"/>
  <c r="Q143" i="22"/>
  <c r="V281" i="22"/>
  <c r="K317" i="22"/>
  <c r="U98" i="22"/>
  <c r="W138" i="22"/>
  <c r="Z138" i="22" s="1"/>
  <c r="L299" i="22"/>
  <c r="U348" i="22"/>
  <c r="Q348" i="22"/>
  <c r="Q351" i="22" s="1"/>
  <c r="M348" i="22"/>
  <c r="I348" i="22"/>
  <c r="I351" i="22" s="1"/>
  <c r="Y364" i="22"/>
  <c r="Y174" i="22" s="1"/>
  <c r="O318" i="22"/>
  <c r="Q318" i="22"/>
  <c r="S318" i="22" s="1"/>
  <c r="U318" i="22" s="1"/>
  <c r="W318" i="22" s="1"/>
  <c r="G318" i="22"/>
  <c r="Q319" i="22"/>
  <c r="O319" i="22"/>
  <c r="Y276" i="22"/>
  <c r="Y282" i="22"/>
  <c r="V282" i="22"/>
  <c r="K310" i="22"/>
  <c r="S310" i="22"/>
  <c r="U308" i="22" s="1"/>
  <c r="W308" i="22" s="1"/>
  <c r="N72" i="22"/>
  <c r="V72" i="22" s="1"/>
  <c r="J72" i="22"/>
  <c r="T72" i="22" s="1"/>
  <c r="H72" i="22"/>
  <c r="L72" i="22"/>
  <c r="Q139" i="22"/>
  <c r="F283" i="22"/>
  <c r="S283" i="22" s="1"/>
  <c r="S277" i="22"/>
  <c r="F280" i="22"/>
  <c r="S280" i="22" s="1"/>
  <c r="O301" i="22"/>
  <c r="S319" i="22"/>
  <c r="G319" i="22"/>
  <c r="U99" i="22"/>
  <c r="S355" i="22"/>
  <c r="K355" i="22"/>
  <c r="I176" i="22"/>
  <c r="F171" i="22"/>
  <c r="K309" i="22"/>
  <c r="M308" i="22" s="1"/>
  <c r="O98" i="22"/>
  <c r="X58" i="22"/>
  <c r="N58" i="22"/>
  <c r="V58" i="22"/>
  <c r="P58" i="22"/>
  <c r="R98" i="22"/>
  <c r="K347" i="22"/>
  <c r="P70" i="22"/>
  <c r="Z219" i="22"/>
  <c r="Q284" i="22"/>
  <c r="I319" i="22"/>
  <c r="K319" i="22" s="1"/>
  <c r="T70" i="22"/>
  <c r="Y112" i="22"/>
  <c r="U112" i="22"/>
  <c r="R112" i="22"/>
  <c r="K152" i="22"/>
  <c r="R302" i="22"/>
  <c r="U139" i="22"/>
  <c r="F137" i="22"/>
  <c r="F142" i="22"/>
  <c r="Q144" i="22"/>
  <c r="L300" i="22"/>
  <c r="O300" i="22" s="1"/>
  <c r="W302" i="22" s="1"/>
  <c r="K160" i="22"/>
  <c r="E163" i="22"/>
  <c r="G316" i="22"/>
  <c r="U137" i="22"/>
  <c r="U142" i="22"/>
  <c r="O113" i="22"/>
  <c r="F140" i="22"/>
  <c r="L294" i="22"/>
  <c r="O97" i="22"/>
  <c r="R97" i="22" s="1"/>
  <c r="S278" i="22"/>
  <c r="O294" i="22"/>
  <c r="I315" i="22"/>
  <c r="K315" i="22" s="1"/>
  <c r="M315" i="22" s="1"/>
  <c r="M347" i="22"/>
  <c r="U113" i="22"/>
  <c r="U145" i="22"/>
  <c r="L301" i="22"/>
  <c r="Q316" i="22"/>
  <c r="S316" i="22" s="1"/>
  <c r="U315" i="22" s="1"/>
  <c r="W315" i="22" s="1"/>
  <c r="S320" i="22"/>
  <c r="R300" i="22"/>
  <c r="I316" i="22"/>
  <c r="K316" i="22" s="1"/>
  <c r="L205" i="22"/>
  <c r="G315" i="22"/>
  <c r="R113" i="22"/>
  <c r="Q145" i="22"/>
  <c r="K164" i="22"/>
  <c r="O316" i="22"/>
  <c r="H71" i="22"/>
  <c r="O111" i="22"/>
  <c r="E161" i="22"/>
  <c r="P164" i="22"/>
  <c r="F161" i="22"/>
  <c r="U370" i="21"/>
  <c r="I370" i="21"/>
  <c r="Q370" i="21"/>
  <c r="Q373" i="21" s="1"/>
  <c r="W370" i="21" s="1"/>
  <c r="M370" i="21"/>
  <c r="M373" i="21" s="1"/>
  <c r="I184" i="21"/>
  <c r="I176" i="21"/>
  <c r="F179" i="21"/>
  <c r="F171" i="21"/>
  <c r="Y279" i="21"/>
  <c r="K351" i="21"/>
  <c r="L56" i="21"/>
  <c r="U348" i="21"/>
  <c r="Q348" i="21"/>
  <c r="Q351" i="21" s="1"/>
  <c r="M348" i="21"/>
  <c r="L206" i="21"/>
  <c r="S374" i="21"/>
  <c r="P76" i="21"/>
  <c r="F170" i="21"/>
  <c r="Y178" i="21"/>
  <c r="S359" i="21"/>
  <c r="L72" i="21"/>
  <c r="J72" i="21"/>
  <c r="T72" i="21" s="1"/>
  <c r="U113" i="21"/>
  <c r="O113" i="21"/>
  <c r="R113" i="21" s="1"/>
  <c r="L62" i="21"/>
  <c r="L207" i="21"/>
  <c r="I348" i="21"/>
  <c r="I351" i="21" s="1"/>
  <c r="S351" i="21"/>
  <c r="U371" i="21"/>
  <c r="Q385" i="21"/>
  <c r="W382" i="21" s="1"/>
  <c r="Y383" i="21" s="1"/>
  <c r="Y181" i="21" s="1"/>
  <c r="N72" i="21"/>
  <c r="V72" i="21" s="1"/>
  <c r="H77" i="21"/>
  <c r="F138" i="21"/>
  <c r="F137" i="21"/>
  <c r="R294" i="21"/>
  <c r="L294" i="21"/>
  <c r="O294" i="21" s="1"/>
  <c r="H71" i="21"/>
  <c r="L77" i="21"/>
  <c r="K316" i="21"/>
  <c r="S319" i="21"/>
  <c r="I183" i="21"/>
  <c r="I175" i="21"/>
  <c r="I185" i="21"/>
  <c r="I177" i="21"/>
  <c r="F180" i="21"/>
  <c r="F172" i="21"/>
  <c r="E58" i="21"/>
  <c r="L75" i="21" s="1"/>
  <c r="L63" i="21"/>
  <c r="R110" i="21"/>
  <c r="B110" i="21"/>
  <c r="U137" i="21"/>
  <c r="N157" i="21"/>
  <c r="R160" i="21"/>
  <c r="U157" i="21" s="1"/>
  <c r="F157" i="21"/>
  <c r="E157" i="21" s="1"/>
  <c r="Q347" i="21" s="1"/>
  <c r="Q350" i="21" s="1"/>
  <c r="I160" i="21"/>
  <c r="E159" i="21"/>
  <c r="I371" i="21" s="1"/>
  <c r="I374" i="21" s="1"/>
  <c r="I377" i="21" s="1"/>
  <c r="O374" i="21" s="1"/>
  <c r="Y375" i="21" s="1"/>
  <c r="Z219" i="21"/>
  <c r="Z225" i="21"/>
  <c r="Z231" i="21"/>
  <c r="F367" i="21"/>
  <c r="K386" i="21"/>
  <c r="P205" i="21"/>
  <c r="L205" i="21"/>
  <c r="U372" i="21"/>
  <c r="Y276" i="21"/>
  <c r="O299" i="21"/>
  <c r="L299" i="21"/>
  <c r="S308" i="21"/>
  <c r="U308" i="21" s="1"/>
  <c r="K308" i="21"/>
  <c r="M308" i="21" s="1"/>
  <c r="Q349" i="21"/>
  <c r="Q352" i="21" s="1"/>
  <c r="Q355" i="21" s="1"/>
  <c r="Q358" i="21" s="1"/>
  <c r="W355" i="21" s="1"/>
  <c r="I349" i="21"/>
  <c r="I352" i="21" s="1"/>
  <c r="I355" i="21" s="1"/>
  <c r="I358" i="21" s="1"/>
  <c r="O355" i="21" s="1"/>
  <c r="Y356" i="21" s="1"/>
  <c r="Y172" i="21" s="1"/>
  <c r="T70" i="21"/>
  <c r="K382" i="21"/>
  <c r="K359" i="21"/>
  <c r="Y173" i="21"/>
  <c r="V276" i="21"/>
  <c r="F368" i="21"/>
  <c r="S386" i="21"/>
  <c r="F391" i="21"/>
  <c r="F181" i="21"/>
  <c r="F173" i="21"/>
  <c r="V283" i="21"/>
  <c r="S309" i="21"/>
  <c r="K309" i="21"/>
  <c r="Q318" i="21"/>
  <c r="G318" i="21"/>
  <c r="G319" i="21"/>
  <c r="M347" i="21"/>
  <c r="I347" i="21"/>
  <c r="U347" i="21"/>
  <c r="M349" i="21"/>
  <c r="Q372" i="21"/>
  <c r="Q375" i="21" s="1"/>
  <c r="Q378" i="21" s="1"/>
  <c r="Q381" i="21" s="1"/>
  <c r="W378" i="21" s="1"/>
  <c r="M372" i="21"/>
  <c r="I372" i="21"/>
  <c r="I375" i="21" s="1"/>
  <c r="I378" i="21" s="1"/>
  <c r="I381" i="21" s="1"/>
  <c r="O378" i="21" s="1"/>
  <c r="Y379" i="21" s="1"/>
  <c r="O386" i="21"/>
  <c r="Y387" i="21" s="1"/>
  <c r="Y182" i="21" s="1"/>
  <c r="O111" i="21"/>
  <c r="R111" i="21" s="1"/>
  <c r="Y113" i="21" s="1"/>
  <c r="U140" i="21"/>
  <c r="F140" i="21"/>
  <c r="F142" i="21"/>
  <c r="F281" i="21"/>
  <c r="S278" i="21"/>
  <c r="H75" i="21"/>
  <c r="W144" i="21"/>
  <c r="Q281" i="21"/>
  <c r="Q279" i="21"/>
  <c r="F284" i="21"/>
  <c r="S284" i="21" s="1"/>
  <c r="V56" i="21"/>
  <c r="F141" i="21"/>
  <c r="K319" i="21"/>
  <c r="J71" i="21"/>
  <c r="T71" i="21" s="1"/>
  <c r="N76" i="21"/>
  <c r="L76" i="21"/>
  <c r="Q371" i="21"/>
  <c r="Q374" i="21" s="1"/>
  <c r="Q377" i="21" s="1"/>
  <c r="W374" i="21" s="1"/>
  <c r="M371" i="21"/>
  <c r="V61" i="21"/>
  <c r="E61" i="21"/>
  <c r="J77" i="21" s="1"/>
  <c r="T77" i="21" s="1"/>
  <c r="U111" i="21"/>
  <c r="W300" i="21"/>
  <c r="L300" i="21"/>
  <c r="S317" i="21"/>
  <c r="K317" i="21"/>
  <c r="O363" i="21"/>
  <c r="Y364" i="21" s="1"/>
  <c r="Y174" i="21" s="1"/>
  <c r="Q276" i="21"/>
  <c r="K347" i="21"/>
  <c r="K370" i="21"/>
  <c r="R152" i="21"/>
  <c r="S355" i="21"/>
  <c r="K355" i="21"/>
  <c r="P77" i="21"/>
  <c r="S378" i="21"/>
  <c r="K378" i="21"/>
  <c r="N58" i="21"/>
  <c r="P58" i="21" s="1"/>
  <c r="Z58" i="21" s="1"/>
  <c r="L61" i="21"/>
  <c r="N61" i="21" s="1"/>
  <c r="P61" i="21" s="1"/>
  <c r="Z61" i="21" s="1"/>
  <c r="N71" i="21"/>
  <c r="V71" i="21" s="1"/>
  <c r="H76" i="21"/>
  <c r="U98" i="21"/>
  <c r="F139" i="21"/>
  <c r="V58" i="21"/>
  <c r="X58" i="21" s="1"/>
  <c r="P71" i="21"/>
  <c r="J76" i="21"/>
  <c r="U99" i="21"/>
  <c r="R99" i="21"/>
  <c r="U112" i="21"/>
  <c r="U139" i="21"/>
  <c r="U143" i="21"/>
  <c r="V277" i="21"/>
  <c r="R300" i="21"/>
  <c r="I318" i="21"/>
  <c r="K318" i="21" s="1"/>
  <c r="M318" i="21" s="1"/>
  <c r="S335" i="21"/>
  <c r="O335" i="21"/>
  <c r="K335" i="21"/>
  <c r="W332" i="21"/>
  <c r="W335" i="21" s="1"/>
  <c r="U349" i="21"/>
  <c r="Q315" i="21"/>
  <c r="L302" i="21"/>
  <c r="S315" i="21"/>
  <c r="I316" i="21"/>
  <c r="O97" i="21"/>
  <c r="Q145" i="21"/>
  <c r="G315" i="21"/>
  <c r="R97" i="21"/>
  <c r="Y97" i="21" s="1"/>
  <c r="I315" i="21"/>
  <c r="O316" i="21"/>
  <c r="O318" i="21" s="1"/>
  <c r="K315" i="21"/>
  <c r="M315" i="21" s="1"/>
  <c r="S296" i="19"/>
  <c r="S296" i="20"/>
  <c r="AA166" i="20"/>
  <c r="AA336" i="20"/>
  <c r="AA336" i="19"/>
  <c r="AA311" i="20"/>
  <c r="AA311" i="19"/>
  <c r="Y296" i="20"/>
  <c r="Y296" i="19"/>
  <c r="AA265" i="20"/>
  <c r="AA265" i="19"/>
  <c r="AA238" i="20"/>
  <c r="AA238" i="19"/>
  <c r="S201" i="20"/>
  <c r="S201" i="19"/>
  <c r="AA166" i="19"/>
  <c r="X130" i="20"/>
  <c r="X130" i="19"/>
  <c r="AA107" i="20"/>
  <c r="AA93" i="20"/>
  <c r="AA93" i="19"/>
  <c r="AA65" i="20"/>
  <c r="AA65" i="19"/>
  <c r="V93" i="19"/>
  <c r="V93" i="20"/>
  <c r="R29" i="20"/>
  <c r="R29" i="19"/>
  <c r="W300" i="22" l="1"/>
  <c r="Y99" i="22"/>
  <c r="Y97" i="22"/>
  <c r="Y98" i="22"/>
  <c r="V71" i="22"/>
  <c r="X71" i="22" s="1"/>
  <c r="V70" i="22"/>
  <c r="X70" i="22" s="1"/>
  <c r="W137" i="22"/>
  <c r="Z137" i="22" s="1"/>
  <c r="Q137" i="22"/>
  <c r="Y280" i="22"/>
  <c r="V280" i="22"/>
  <c r="I350" i="22"/>
  <c r="O347" i="22" s="1"/>
  <c r="Y348" i="22" s="1"/>
  <c r="Y367" i="22" s="1"/>
  <c r="Y175" i="22" s="1"/>
  <c r="I318" i="22"/>
  <c r="K318" i="22" s="1"/>
  <c r="M318" i="22" s="1"/>
  <c r="W301" i="22"/>
  <c r="Q354" i="22"/>
  <c r="W351" i="22" s="1"/>
  <c r="Y277" i="22"/>
  <c r="V277" i="22"/>
  <c r="Y278" i="22"/>
  <c r="V278" i="22"/>
  <c r="W142" i="22"/>
  <c r="Z142" i="22" s="1"/>
  <c r="Q142" i="22"/>
  <c r="W140" i="22"/>
  <c r="Z140" i="22" s="1"/>
  <c r="Q140" i="22"/>
  <c r="V283" i="22"/>
  <c r="Y283" i="22"/>
  <c r="I354" i="22"/>
  <c r="O351" i="22" s="1"/>
  <c r="Y352" i="22" s="1"/>
  <c r="Q350" i="22"/>
  <c r="W347" i="22" s="1"/>
  <c r="Y172" i="22"/>
  <c r="M350" i="22"/>
  <c r="X72" i="22"/>
  <c r="W308" i="21"/>
  <c r="W158" i="21"/>
  <c r="Y391" i="21"/>
  <c r="Y184" i="21" s="1"/>
  <c r="Y179" i="21"/>
  <c r="S318" i="21"/>
  <c r="U318" i="21" s="1"/>
  <c r="W318" i="21" s="1"/>
  <c r="S281" i="21"/>
  <c r="Y283" i="21"/>
  <c r="Y112" i="21"/>
  <c r="N75" i="21"/>
  <c r="V75" i="21" s="1"/>
  <c r="V280" i="21"/>
  <c r="W137" i="21"/>
  <c r="Z137" i="21" s="1"/>
  <c r="Q137" i="21"/>
  <c r="Y392" i="21"/>
  <c r="Y185" i="21" s="1"/>
  <c r="I373" i="21"/>
  <c r="O370" i="21" s="1"/>
  <c r="Y371" i="21" s="1"/>
  <c r="Y390" i="21" s="1"/>
  <c r="Y183" i="21" s="1"/>
  <c r="U373" i="21"/>
  <c r="Y99" i="21"/>
  <c r="Y278" i="21"/>
  <c r="V278" i="21"/>
  <c r="T76" i="21"/>
  <c r="X71" i="21"/>
  <c r="W142" i="21"/>
  <c r="Q142" i="21"/>
  <c r="Y180" i="21"/>
  <c r="Y98" i="21"/>
  <c r="I354" i="21"/>
  <c r="O351" i="21" s="1"/>
  <c r="Y352" i="21" s="1"/>
  <c r="X72" i="21"/>
  <c r="Q354" i="21"/>
  <c r="W351" i="21" s="1"/>
  <c r="Y280" i="21"/>
  <c r="N77" i="21"/>
  <c r="V77" i="21" s="1"/>
  <c r="X77" i="21" s="1"/>
  <c r="W141" i="21"/>
  <c r="Z141" i="21" s="1"/>
  <c r="Q141" i="21"/>
  <c r="V279" i="21"/>
  <c r="V282" i="21"/>
  <c r="Y282" i="21"/>
  <c r="Y369" i="21"/>
  <c r="Y177" i="21" s="1"/>
  <c r="U350" i="21"/>
  <c r="W347" i="21" s="1"/>
  <c r="I350" i="21"/>
  <c r="W140" i="21"/>
  <c r="Q140" i="21"/>
  <c r="U315" i="21"/>
  <c r="W315" i="21" s="1"/>
  <c r="Z143" i="21"/>
  <c r="Z145" i="21"/>
  <c r="Q138" i="21"/>
  <c r="Z144" i="21" s="1"/>
  <c r="W138" i="21"/>
  <c r="M350" i="21"/>
  <c r="J75" i="21"/>
  <c r="T75" i="21" s="1"/>
  <c r="S316" i="21"/>
  <c r="W139" i="21"/>
  <c r="Z139" i="21" s="1"/>
  <c r="Q139" i="21"/>
  <c r="Y111" i="21"/>
  <c r="Y284" i="21"/>
  <c r="V284" i="21"/>
  <c r="V70" i="21"/>
  <c r="X70" i="21" s="1"/>
  <c r="Y420" i="19"/>
  <c r="Y419" i="19"/>
  <c r="Y418" i="19"/>
  <c r="Y415" i="19"/>
  <c r="Y411" i="19"/>
  <c r="Y407" i="19"/>
  <c r="Y403" i="19"/>
  <c r="Y399" i="19"/>
  <c r="Y390" i="20"/>
  <c r="Y391" i="20"/>
  <c r="Y392" i="20"/>
  <c r="Y399" i="20"/>
  <c r="Y403" i="20"/>
  <c r="Y407" i="20"/>
  <c r="Y411" i="20"/>
  <c r="Y415" i="20"/>
  <c r="Y420" i="20"/>
  <c r="Y419" i="20"/>
  <c r="Y418" i="20"/>
  <c r="Y387" i="20"/>
  <c r="Y383" i="20"/>
  <c r="Y379" i="20"/>
  <c r="Y375" i="20"/>
  <c r="Y371" i="20"/>
  <c r="V107" i="20"/>
  <c r="I389" i="20"/>
  <c r="I387" i="19"/>
  <c r="I387" i="20"/>
  <c r="I385" i="20"/>
  <c r="I383" i="19"/>
  <c r="I386" i="19" s="1"/>
  <c r="I389" i="19" s="1"/>
  <c r="I383" i="20"/>
  <c r="I386" i="20" s="1"/>
  <c r="I379" i="19"/>
  <c r="I382" i="19" s="1"/>
  <c r="I385" i="19" s="1"/>
  <c r="I379" i="20"/>
  <c r="I382" i="20" s="1"/>
  <c r="K378" i="20"/>
  <c r="K387" i="19"/>
  <c r="K387" i="20"/>
  <c r="K383" i="19"/>
  <c r="K383" i="20"/>
  <c r="K379" i="19"/>
  <c r="K379" i="20"/>
  <c r="K375" i="19"/>
  <c r="K375" i="20"/>
  <c r="K371" i="19"/>
  <c r="K371" i="20"/>
  <c r="M389" i="19"/>
  <c r="M389" i="20"/>
  <c r="M385" i="19"/>
  <c r="M385" i="20"/>
  <c r="M381" i="19"/>
  <c r="M381" i="20"/>
  <c r="M377" i="19"/>
  <c r="M377" i="20"/>
  <c r="Q360" i="19"/>
  <c r="Q363" i="19" s="1"/>
  <c r="Q360" i="20"/>
  <c r="Q356" i="19"/>
  <c r="Q359" i="19" s="1"/>
  <c r="Q356" i="20"/>
  <c r="Q359" i="20" s="1"/>
  <c r="Q364" i="19"/>
  <c r="Q364" i="20"/>
  <c r="Q407" i="19"/>
  <c r="Q410" i="19" s="1"/>
  <c r="Q407" i="20"/>
  <c r="Q410" i="20" s="1"/>
  <c r="Q415" i="19"/>
  <c r="Q415" i="20"/>
  <c r="Q387" i="19"/>
  <c r="Q387" i="20"/>
  <c r="Q385" i="20"/>
  <c r="Q383" i="19"/>
  <c r="Q386" i="19" s="1"/>
  <c r="Q383" i="20"/>
  <c r="Q386" i="20" s="1"/>
  <c r="Q379" i="19"/>
  <c r="Q382" i="19" s="1"/>
  <c r="Q379" i="20"/>
  <c r="Q382" i="20" s="1"/>
  <c r="S383" i="19"/>
  <c r="S383" i="20"/>
  <c r="S379" i="19"/>
  <c r="S379" i="20"/>
  <c r="S375" i="19"/>
  <c r="S375" i="20"/>
  <c r="S371" i="19"/>
  <c r="S371" i="20"/>
  <c r="S374" i="20"/>
  <c r="S370" i="20"/>
  <c r="U389" i="19"/>
  <c r="U389" i="20"/>
  <c r="U385" i="19"/>
  <c r="U385" i="20"/>
  <c r="U381" i="19"/>
  <c r="U381" i="20"/>
  <c r="U377" i="19"/>
  <c r="U377" i="20"/>
  <c r="W414" i="19"/>
  <c r="W414" i="20"/>
  <c r="U417" i="19"/>
  <c r="U417" i="20"/>
  <c r="U413" i="19"/>
  <c r="U413" i="20"/>
  <c r="U409" i="19"/>
  <c r="U409" i="20"/>
  <c r="U405" i="19"/>
  <c r="U405" i="20"/>
  <c r="S415" i="19"/>
  <c r="S415" i="20"/>
  <c r="S411" i="19"/>
  <c r="S411" i="20"/>
  <c r="S407" i="19"/>
  <c r="S407" i="20"/>
  <c r="S403" i="19"/>
  <c r="S403" i="20"/>
  <c r="S399" i="19"/>
  <c r="S399" i="20"/>
  <c r="S414" i="19"/>
  <c r="S410" i="19"/>
  <c r="S406" i="19"/>
  <c r="S402" i="19"/>
  <c r="S398" i="19"/>
  <c r="S398" i="20"/>
  <c r="K398" i="19"/>
  <c r="K398" i="20"/>
  <c r="Q417" i="19"/>
  <c r="Q417" i="20"/>
  <c r="Q413" i="19"/>
  <c r="W410" i="19" s="1"/>
  <c r="Q413" i="20"/>
  <c r="W410" i="20" s="1"/>
  <c r="Q411" i="19"/>
  <c r="Q414" i="19" s="1"/>
  <c r="Q411" i="20"/>
  <c r="Q414" i="20" s="1"/>
  <c r="O414" i="19"/>
  <c r="O414" i="20"/>
  <c r="O410" i="19"/>
  <c r="O410" i="20"/>
  <c r="K402" i="19"/>
  <c r="K403" i="19"/>
  <c r="K403" i="20"/>
  <c r="K406" i="19"/>
  <c r="K407" i="19"/>
  <c r="K407" i="20"/>
  <c r="K410" i="19"/>
  <c r="K411" i="19"/>
  <c r="K411" i="20"/>
  <c r="K414" i="19"/>
  <c r="K415" i="19"/>
  <c r="K415" i="20"/>
  <c r="K399" i="19"/>
  <c r="K399" i="20"/>
  <c r="K364" i="19"/>
  <c r="K364" i="20"/>
  <c r="K360" i="19"/>
  <c r="K360" i="20"/>
  <c r="K356" i="19"/>
  <c r="K356" i="20"/>
  <c r="K352" i="19"/>
  <c r="K352" i="20"/>
  <c r="K348" i="19"/>
  <c r="K348" i="20"/>
  <c r="I415" i="19"/>
  <c r="I415" i="20"/>
  <c r="I411" i="19"/>
  <c r="I414" i="19" s="1"/>
  <c r="I411" i="20"/>
  <c r="I414" i="20" s="1"/>
  <c r="I407" i="19"/>
  <c r="I410" i="19" s="1"/>
  <c r="I407" i="20"/>
  <c r="I410" i="20" s="1"/>
  <c r="O382" i="20"/>
  <c r="I364" i="19"/>
  <c r="I364" i="20"/>
  <c r="I360" i="19"/>
  <c r="I363" i="19" s="1"/>
  <c r="I360" i="20"/>
  <c r="I363" i="20" s="1"/>
  <c r="I356" i="19"/>
  <c r="I359" i="19" s="1"/>
  <c r="I356" i="20"/>
  <c r="I359" i="20" s="1"/>
  <c r="F416" i="19"/>
  <c r="F420" i="19" s="1"/>
  <c r="F416" i="20"/>
  <c r="F415" i="19"/>
  <c r="F415" i="20"/>
  <c r="E415" i="20" s="1"/>
  <c r="F414" i="19"/>
  <c r="F414" i="20"/>
  <c r="F412" i="19"/>
  <c r="F419" i="19" s="1"/>
  <c r="F412" i="20"/>
  <c r="F419" i="20" s="1"/>
  <c r="F411" i="19"/>
  <c r="F411" i="20"/>
  <c r="E411" i="20" s="1"/>
  <c r="F410" i="19"/>
  <c r="F410" i="20"/>
  <c r="F408" i="19"/>
  <c r="F418" i="19" s="1"/>
  <c r="F408" i="20"/>
  <c r="F418" i="20" s="1"/>
  <c r="F407" i="19"/>
  <c r="F407" i="20"/>
  <c r="E407" i="20" s="1"/>
  <c r="F406" i="19"/>
  <c r="F406" i="20"/>
  <c r="F404" i="19"/>
  <c r="F404" i="20"/>
  <c r="F403" i="19"/>
  <c r="F403" i="20"/>
  <c r="E403" i="20" s="1"/>
  <c r="F402" i="19"/>
  <c r="F402" i="20"/>
  <c r="F400" i="19"/>
  <c r="F400" i="20"/>
  <c r="E400" i="20" s="1"/>
  <c r="F399" i="19"/>
  <c r="F399" i="20"/>
  <c r="E399" i="20" s="1"/>
  <c r="F398" i="19"/>
  <c r="F398" i="20"/>
  <c r="E398" i="20" s="1"/>
  <c r="F388" i="19"/>
  <c r="F388" i="20"/>
  <c r="F387" i="19"/>
  <c r="E387" i="19" s="1"/>
  <c r="F387" i="20"/>
  <c r="F386" i="19"/>
  <c r="F386" i="20"/>
  <c r="F384" i="19"/>
  <c r="F384" i="20"/>
  <c r="F391" i="20" s="1"/>
  <c r="F383" i="19"/>
  <c r="E383" i="19" s="1"/>
  <c r="F383" i="20"/>
  <c r="E383" i="20" s="1"/>
  <c r="F382" i="19"/>
  <c r="F382" i="20"/>
  <c r="F380" i="19"/>
  <c r="F380" i="20"/>
  <c r="F390" i="20" s="1"/>
  <c r="F379" i="19"/>
  <c r="E379" i="19" s="1"/>
  <c r="F379" i="20"/>
  <c r="E379" i="20" s="1"/>
  <c r="F378" i="19"/>
  <c r="F378" i="20"/>
  <c r="F376" i="19"/>
  <c r="F376" i="20"/>
  <c r="F375" i="19"/>
  <c r="E375" i="19" s="1"/>
  <c r="F375" i="20"/>
  <c r="E375" i="20" s="1"/>
  <c r="F374" i="19"/>
  <c r="F374" i="20"/>
  <c r="F372" i="19"/>
  <c r="E372" i="19" s="1"/>
  <c r="F372" i="20"/>
  <c r="E372" i="20" s="1"/>
  <c r="F371" i="19"/>
  <c r="E371" i="19" s="1"/>
  <c r="F371" i="20"/>
  <c r="F370" i="19"/>
  <c r="E370" i="19" s="1"/>
  <c r="F370" i="20"/>
  <c r="E370" i="20" s="1"/>
  <c r="F365" i="19"/>
  <c r="F365" i="20"/>
  <c r="F364" i="19"/>
  <c r="F364" i="20"/>
  <c r="F363" i="19"/>
  <c r="F363" i="20"/>
  <c r="F361" i="19"/>
  <c r="F361" i="20"/>
  <c r="F360" i="19"/>
  <c r="F360" i="20"/>
  <c r="F359" i="19"/>
  <c r="F359" i="20"/>
  <c r="F357" i="19"/>
  <c r="F357" i="20"/>
  <c r="F356" i="19"/>
  <c r="F356" i="20"/>
  <c r="F355" i="19"/>
  <c r="F355" i="20"/>
  <c r="F353" i="19"/>
  <c r="F353" i="20"/>
  <c r="F352" i="19"/>
  <c r="F352" i="20"/>
  <c r="F351" i="19"/>
  <c r="F351" i="20"/>
  <c r="F349" i="19"/>
  <c r="F349" i="20"/>
  <c r="F348" i="19"/>
  <c r="F348" i="20"/>
  <c r="F347" i="19"/>
  <c r="F347" i="20"/>
  <c r="S387" i="19"/>
  <c r="S387" i="20"/>
  <c r="E403" i="19"/>
  <c r="E400" i="19"/>
  <c r="E399" i="19"/>
  <c r="E371" i="20"/>
  <c r="E190" i="19"/>
  <c r="E189" i="19"/>
  <c r="E188" i="19"/>
  <c r="E187" i="19"/>
  <c r="E190" i="20"/>
  <c r="E189" i="20"/>
  <c r="E188" i="20"/>
  <c r="E187" i="20"/>
  <c r="E181" i="19"/>
  <c r="E181" i="20"/>
  <c r="E180" i="19"/>
  <c r="E180" i="20"/>
  <c r="E179" i="19"/>
  <c r="E179" i="20"/>
  <c r="E182" i="19"/>
  <c r="E182" i="20"/>
  <c r="E178" i="20"/>
  <c r="E174" i="19"/>
  <c r="E174" i="20"/>
  <c r="E173" i="19"/>
  <c r="E173" i="20"/>
  <c r="E172" i="19"/>
  <c r="E172" i="20"/>
  <c r="E171" i="19"/>
  <c r="E171" i="20"/>
  <c r="M417" i="19"/>
  <c r="M413" i="19"/>
  <c r="M409" i="19"/>
  <c r="M405" i="19"/>
  <c r="M417" i="20"/>
  <c r="M413" i="20"/>
  <c r="M409" i="20"/>
  <c r="M405" i="20"/>
  <c r="E420" i="19"/>
  <c r="E419" i="19"/>
  <c r="E418" i="19"/>
  <c r="E415" i="19"/>
  <c r="E411" i="19"/>
  <c r="E407" i="19"/>
  <c r="E398" i="19"/>
  <c r="E420" i="20"/>
  <c r="E419" i="20"/>
  <c r="E418" i="20"/>
  <c r="E392" i="19"/>
  <c r="E391" i="19"/>
  <c r="E390" i="19"/>
  <c r="E392" i="20"/>
  <c r="E391" i="20"/>
  <c r="E390" i="20"/>
  <c r="E387" i="20"/>
  <c r="S364" i="19"/>
  <c r="S364" i="20"/>
  <c r="S360" i="19"/>
  <c r="S360" i="20"/>
  <c r="S356" i="19"/>
  <c r="S356" i="20"/>
  <c r="S352" i="19"/>
  <c r="S352" i="20"/>
  <c r="S348" i="19"/>
  <c r="S348" i="20"/>
  <c r="U366" i="19"/>
  <c r="U366" i="20"/>
  <c r="U362" i="19"/>
  <c r="U362" i="20"/>
  <c r="U358" i="19"/>
  <c r="U358" i="20"/>
  <c r="U354" i="19"/>
  <c r="U354" i="20"/>
  <c r="M366" i="19"/>
  <c r="M366" i="20"/>
  <c r="M362" i="19"/>
  <c r="M362" i="20"/>
  <c r="M358" i="19"/>
  <c r="M358" i="20"/>
  <c r="M354" i="19"/>
  <c r="M354" i="20"/>
  <c r="B340" i="19"/>
  <c r="B340" i="20"/>
  <c r="B339" i="19"/>
  <c r="B339" i="20"/>
  <c r="B334" i="19"/>
  <c r="B334" i="20"/>
  <c r="B333" i="19"/>
  <c r="B333" i="20"/>
  <c r="B332" i="19"/>
  <c r="B332" i="20"/>
  <c r="D320" i="19"/>
  <c r="K320" i="19" s="1"/>
  <c r="D320" i="20"/>
  <c r="S320" i="20" s="1"/>
  <c r="D319" i="19"/>
  <c r="D319" i="20"/>
  <c r="D318" i="19"/>
  <c r="D318" i="20"/>
  <c r="D316" i="19"/>
  <c r="D316" i="20"/>
  <c r="D315" i="19"/>
  <c r="D315" i="20"/>
  <c r="D317" i="19"/>
  <c r="K317" i="19" s="1"/>
  <c r="D317" i="20"/>
  <c r="S317" i="20" s="1"/>
  <c r="B299" i="19"/>
  <c r="B299" i="20"/>
  <c r="B310" i="19"/>
  <c r="K310" i="19" s="1"/>
  <c r="B310" i="20"/>
  <c r="S310" i="20" s="1"/>
  <c r="B309" i="19"/>
  <c r="S309" i="19" s="1"/>
  <c r="B309" i="20"/>
  <c r="S309" i="20" s="1"/>
  <c r="B308" i="19"/>
  <c r="S308" i="19" s="1"/>
  <c r="B308" i="20"/>
  <c r="S308" i="20" s="1"/>
  <c r="B302" i="19"/>
  <c r="B302" i="20"/>
  <c r="O302" i="20" s="1"/>
  <c r="B301" i="19"/>
  <c r="B301" i="20"/>
  <c r="B300" i="19"/>
  <c r="B300" i="20"/>
  <c r="B294" i="19"/>
  <c r="B294" i="20"/>
  <c r="B282" i="19"/>
  <c r="B282" i="20"/>
  <c r="B279" i="19"/>
  <c r="B279" i="20"/>
  <c r="B276" i="19"/>
  <c r="B276" i="20"/>
  <c r="B273" i="19"/>
  <c r="B273" i="20"/>
  <c r="B270" i="19"/>
  <c r="B270" i="20"/>
  <c r="P263" i="19"/>
  <c r="P262" i="19"/>
  <c r="P261" i="19"/>
  <c r="P260" i="19"/>
  <c r="P259" i="19"/>
  <c r="P258" i="19"/>
  <c r="P257" i="19"/>
  <c r="P256" i="19"/>
  <c r="P255" i="19"/>
  <c r="P254" i="19"/>
  <c r="P253" i="19"/>
  <c r="P252" i="19"/>
  <c r="P251" i="19"/>
  <c r="P250" i="19"/>
  <c r="P249" i="19"/>
  <c r="P248" i="19"/>
  <c r="P247" i="19"/>
  <c r="P246" i="19"/>
  <c r="P263" i="20"/>
  <c r="P262" i="20"/>
  <c r="P261" i="20"/>
  <c r="P260" i="20"/>
  <c r="P259" i="20"/>
  <c r="P258" i="20"/>
  <c r="P257" i="20"/>
  <c r="P256" i="20"/>
  <c r="P255" i="20"/>
  <c r="P254" i="20"/>
  <c r="P253" i="20"/>
  <c r="P252" i="20"/>
  <c r="P251" i="20"/>
  <c r="P250" i="20"/>
  <c r="P249" i="20"/>
  <c r="P248" i="20"/>
  <c r="P247" i="20"/>
  <c r="P246" i="20"/>
  <c r="F263" i="19"/>
  <c r="F262" i="19"/>
  <c r="F261" i="19"/>
  <c r="F260" i="19"/>
  <c r="F259" i="19"/>
  <c r="F258" i="19"/>
  <c r="F263" i="20"/>
  <c r="F262" i="20"/>
  <c r="F261" i="20"/>
  <c r="F260" i="20"/>
  <c r="F259" i="20"/>
  <c r="F258" i="20"/>
  <c r="F257" i="19"/>
  <c r="F256" i="19"/>
  <c r="F255" i="19"/>
  <c r="F254" i="19"/>
  <c r="F253" i="19"/>
  <c r="F252" i="19"/>
  <c r="F257" i="20"/>
  <c r="F256" i="20"/>
  <c r="F255" i="20"/>
  <c r="F254" i="20"/>
  <c r="F253" i="20"/>
  <c r="F252" i="20"/>
  <c r="F251" i="19"/>
  <c r="F250" i="19"/>
  <c r="F249" i="19"/>
  <c r="F248" i="19"/>
  <c r="F247" i="19"/>
  <c r="F246" i="19"/>
  <c r="F251" i="20"/>
  <c r="F250" i="20"/>
  <c r="F249" i="20"/>
  <c r="F248" i="20"/>
  <c r="F247" i="20"/>
  <c r="F246" i="20"/>
  <c r="P236" i="19"/>
  <c r="P235" i="19"/>
  <c r="P234" i="19"/>
  <c r="P233" i="19"/>
  <c r="P232" i="19"/>
  <c r="P231" i="19"/>
  <c r="P236" i="20"/>
  <c r="P235" i="20"/>
  <c r="P234" i="20"/>
  <c r="P233" i="20"/>
  <c r="P232" i="20"/>
  <c r="P231" i="20"/>
  <c r="P230" i="19"/>
  <c r="P229" i="19"/>
  <c r="P228" i="19"/>
  <c r="P227" i="19"/>
  <c r="P226" i="19"/>
  <c r="P225" i="19"/>
  <c r="P230" i="20"/>
  <c r="P229" i="20"/>
  <c r="P228" i="20"/>
  <c r="P227" i="20"/>
  <c r="P226" i="20"/>
  <c r="P225" i="20"/>
  <c r="F236" i="19"/>
  <c r="F235" i="19"/>
  <c r="F234" i="19"/>
  <c r="F233" i="19"/>
  <c r="F232" i="19"/>
  <c r="F231" i="19"/>
  <c r="F236" i="20"/>
  <c r="F235" i="20"/>
  <c r="F234" i="20"/>
  <c r="F233" i="20"/>
  <c r="F232" i="20"/>
  <c r="F231" i="20"/>
  <c r="F230" i="19"/>
  <c r="F229" i="19"/>
  <c r="F228" i="19"/>
  <c r="F227" i="19"/>
  <c r="F226" i="19"/>
  <c r="F225" i="19"/>
  <c r="F230" i="20"/>
  <c r="F229" i="20"/>
  <c r="F228" i="20"/>
  <c r="F227" i="20"/>
  <c r="F226" i="20"/>
  <c r="F225" i="20"/>
  <c r="P224" i="19"/>
  <c r="P224" i="20"/>
  <c r="P223" i="19"/>
  <c r="P223" i="20"/>
  <c r="P222" i="19"/>
  <c r="P222" i="20"/>
  <c r="P221" i="19"/>
  <c r="P221" i="20"/>
  <c r="P220" i="19"/>
  <c r="P220" i="20"/>
  <c r="P219" i="19"/>
  <c r="P219" i="20"/>
  <c r="F224" i="19"/>
  <c r="F224" i="20"/>
  <c r="F223" i="19"/>
  <c r="F223" i="20"/>
  <c r="F222" i="19"/>
  <c r="F222" i="20"/>
  <c r="F221" i="19"/>
  <c r="F221" i="20"/>
  <c r="F220" i="19"/>
  <c r="F220" i="20"/>
  <c r="F219" i="19"/>
  <c r="F219" i="20"/>
  <c r="B207" i="19"/>
  <c r="P207" i="19" s="1"/>
  <c r="B207" i="20"/>
  <c r="P207" i="20" s="1"/>
  <c r="B206" i="19"/>
  <c r="B206" i="20"/>
  <c r="B205" i="19"/>
  <c r="B205" i="20"/>
  <c r="B204" i="19"/>
  <c r="B204" i="20"/>
  <c r="B199" i="19"/>
  <c r="B199" i="20"/>
  <c r="T21" i="20"/>
  <c r="S21" i="20"/>
  <c r="R21" i="20"/>
  <c r="T21" i="19"/>
  <c r="S21" i="19"/>
  <c r="R21" i="19"/>
  <c r="T15" i="19"/>
  <c r="S15" i="19"/>
  <c r="R15" i="19"/>
  <c r="T15" i="20"/>
  <c r="S15" i="20"/>
  <c r="R15" i="20"/>
  <c r="F155" i="19"/>
  <c r="F155" i="20"/>
  <c r="F154" i="19"/>
  <c r="E178" i="19" s="1"/>
  <c r="F154" i="20"/>
  <c r="F153" i="19"/>
  <c r="F153" i="20"/>
  <c r="B143" i="19"/>
  <c r="B143" i="20"/>
  <c r="B140" i="19"/>
  <c r="B140" i="20"/>
  <c r="B137" i="19"/>
  <c r="B137" i="20"/>
  <c r="B134" i="19"/>
  <c r="B134" i="20"/>
  <c r="B126" i="19"/>
  <c r="B126" i="20"/>
  <c r="F105" i="19"/>
  <c r="F112" i="19" s="1"/>
  <c r="F105" i="20"/>
  <c r="F112" i="20" s="1"/>
  <c r="F99" i="19"/>
  <c r="F99" i="20"/>
  <c r="F98" i="19"/>
  <c r="F98" i="20"/>
  <c r="F97" i="19"/>
  <c r="F97" i="20"/>
  <c r="F96" i="19"/>
  <c r="F96" i="20"/>
  <c r="F91" i="19"/>
  <c r="F91" i="20"/>
  <c r="T20" i="20"/>
  <c r="T19" i="20"/>
  <c r="T18" i="20"/>
  <c r="T17" i="20"/>
  <c r="T16" i="20"/>
  <c r="Q20" i="20"/>
  <c r="Q19" i="20"/>
  <c r="Q18" i="20"/>
  <c r="Q17" i="20"/>
  <c r="Q16" i="20"/>
  <c r="F84" i="19"/>
  <c r="F83" i="19"/>
  <c r="F82" i="19"/>
  <c r="E82" i="19" s="1"/>
  <c r="F81" i="19"/>
  <c r="E81" i="19" s="1"/>
  <c r="F80" i="19"/>
  <c r="E80" i="19" s="1"/>
  <c r="F84" i="20"/>
  <c r="F83" i="20"/>
  <c r="F82" i="20"/>
  <c r="E82" i="20" s="1"/>
  <c r="F81" i="20"/>
  <c r="E81" i="20" s="1"/>
  <c r="F80" i="20"/>
  <c r="E80" i="20" s="1"/>
  <c r="F79" i="19"/>
  <c r="F78" i="19"/>
  <c r="F77" i="19"/>
  <c r="F76" i="19"/>
  <c r="F75" i="19"/>
  <c r="F79" i="20"/>
  <c r="F78" i="20"/>
  <c r="F77" i="20"/>
  <c r="F76" i="20"/>
  <c r="F75" i="20"/>
  <c r="F74" i="19"/>
  <c r="F74" i="20"/>
  <c r="F73" i="19"/>
  <c r="F73" i="20"/>
  <c r="F72" i="19"/>
  <c r="F72" i="20"/>
  <c r="F71" i="19"/>
  <c r="F71" i="20"/>
  <c r="F70" i="19"/>
  <c r="F70" i="20"/>
  <c r="F63" i="19"/>
  <c r="F63" i="20"/>
  <c r="F62" i="19"/>
  <c r="F62" i="20"/>
  <c r="F61" i="19"/>
  <c r="F61" i="20"/>
  <c r="F60" i="19"/>
  <c r="F60" i="20"/>
  <c r="F58" i="19"/>
  <c r="F58" i="20"/>
  <c r="F59" i="19"/>
  <c r="F59" i="20"/>
  <c r="F57" i="19"/>
  <c r="F57" i="20"/>
  <c r="F56" i="19"/>
  <c r="F56" i="20"/>
  <c r="F55" i="19"/>
  <c r="F55" i="20"/>
  <c r="S20" i="20"/>
  <c r="S19" i="20"/>
  <c r="S18" i="20"/>
  <c r="S17" i="20"/>
  <c r="S16" i="20"/>
  <c r="R20" i="20"/>
  <c r="R19" i="20"/>
  <c r="R18" i="20"/>
  <c r="R17" i="20"/>
  <c r="R16" i="20"/>
  <c r="P20" i="20"/>
  <c r="S363" i="20" s="1"/>
  <c r="P19" i="20"/>
  <c r="K382" i="20" s="1"/>
  <c r="P18" i="20"/>
  <c r="S378" i="20" s="1"/>
  <c r="P17" i="20"/>
  <c r="S351" i="20" s="1"/>
  <c r="P16" i="20"/>
  <c r="S347" i="20" s="1"/>
  <c r="O20" i="20"/>
  <c r="O19" i="20"/>
  <c r="O18" i="20"/>
  <c r="O17" i="20"/>
  <c r="O16" i="20"/>
  <c r="T20" i="19"/>
  <c r="T19" i="19"/>
  <c r="T18" i="19"/>
  <c r="T17" i="19"/>
  <c r="T16" i="19"/>
  <c r="S20" i="19"/>
  <c r="S19" i="19"/>
  <c r="S18" i="19"/>
  <c r="S17" i="19"/>
  <c r="S16" i="19"/>
  <c r="R20" i="19"/>
  <c r="R19" i="19"/>
  <c r="R18" i="19"/>
  <c r="R17" i="19"/>
  <c r="R16" i="19"/>
  <c r="Q20" i="19"/>
  <c r="Q19" i="19"/>
  <c r="Q18" i="19"/>
  <c r="Q17" i="19"/>
  <c r="Q16" i="19"/>
  <c r="P20" i="19"/>
  <c r="S363" i="19" s="1"/>
  <c r="P19" i="19"/>
  <c r="S359" i="19" s="1"/>
  <c r="P18" i="19"/>
  <c r="P17" i="19"/>
  <c r="S374" i="19" s="1"/>
  <c r="P16" i="19"/>
  <c r="S347" i="19" s="1"/>
  <c r="O20" i="19"/>
  <c r="O19" i="19"/>
  <c r="O18" i="19"/>
  <c r="O17" i="19"/>
  <c r="O16" i="19"/>
  <c r="X27" i="19"/>
  <c r="Z27" i="19" s="1"/>
  <c r="X9" i="20"/>
  <c r="X9" i="19"/>
  <c r="S9" i="20"/>
  <c r="S9" i="19"/>
  <c r="S8" i="20"/>
  <c r="S8" i="19"/>
  <c r="T7" i="20"/>
  <c r="T7" i="19"/>
  <c r="X27" i="20"/>
  <c r="AA394" i="20"/>
  <c r="E369" i="20"/>
  <c r="E368" i="20"/>
  <c r="E367" i="20"/>
  <c r="AA342" i="20"/>
  <c r="AA322" i="20"/>
  <c r="AA286" i="20"/>
  <c r="F278" i="20"/>
  <c r="S278" i="20" s="1"/>
  <c r="F277" i="20"/>
  <c r="F283" i="20" s="1"/>
  <c r="S283" i="20" s="1"/>
  <c r="F276" i="20"/>
  <c r="S276" i="20" s="1"/>
  <c r="F275" i="20"/>
  <c r="F274" i="20"/>
  <c r="F273" i="20"/>
  <c r="X263" i="20"/>
  <c r="N263" i="20"/>
  <c r="X262" i="20"/>
  <c r="N262" i="20"/>
  <c r="X261" i="20"/>
  <c r="N261" i="20"/>
  <c r="X260" i="20"/>
  <c r="N260" i="20"/>
  <c r="X259" i="20"/>
  <c r="N259" i="20"/>
  <c r="X258" i="20"/>
  <c r="N258" i="20"/>
  <c r="Z258" i="20" s="1"/>
  <c r="X257" i="20"/>
  <c r="N257" i="20"/>
  <c r="X256" i="20"/>
  <c r="N256" i="20"/>
  <c r="X255" i="20"/>
  <c r="N255" i="20"/>
  <c r="X254" i="20"/>
  <c r="N254" i="20"/>
  <c r="X253" i="20"/>
  <c r="N253" i="20"/>
  <c r="X252" i="20"/>
  <c r="N252" i="20"/>
  <c r="Z252" i="20" s="1"/>
  <c r="X251" i="20"/>
  <c r="N251" i="20"/>
  <c r="X250" i="20"/>
  <c r="N250" i="20"/>
  <c r="X249" i="20"/>
  <c r="N249" i="20"/>
  <c r="X248" i="20"/>
  <c r="N248" i="20"/>
  <c r="X247" i="20"/>
  <c r="N247" i="20"/>
  <c r="X246" i="20"/>
  <c r="N246" i="20"/>
  <c r="AA241" i="20"/>
  <c r="X236" i="20"/>
  <c r="N236" i="20"/>
  <c r="X235" i="20"/>
  <c r="N235" i="20"/>
  <c r="X234" i="20"/>
  <c r="N234" i="20"/>
  <c r="X233" i="20"/>
  <c r="N233" i="20"/>
  <c r="X232" i="20"/>
  <c r="N232" i="20"/>
  <c r="X231" i="20"/>
  <c r="N231" i="20"/>
  <c r="X230" i="20"/>
  <c r="N230" i="20"/>
  <c r="X229" i="20"/>
  <c r="N229" i="20"/>
  <c r="X228" i="20"/>
  <c r="N228" i="20"/>
  <c r="X227" i="20"/>
  <c r="N227" i="20"/>
  <c r="X226" i="20"/>
  <c r="N226" i="20"/>
  <c r="X225" i="20"/>
  <c r="N225" i="20"/>
  <c r="X224" i="20"/>
  <c r="N224" i="20"/>
  <c r="X223" i="20"/>
  <c r="N223" i="20"/>
  <c r="X222" i="20"/>
  <c r="N222" i="20"/>
  <c r="X221" i="20"/>
  <c r="N221" i="20"/>
  <c r="X220" i="20"/>
  <c r="N220" i="20"/>
  <c r="X219" i="20"/>
  <c r="N219" i="20"/>
  <c r="AA209" i="20"/>
  <c r="AA195" i="20"/>
  <c r="E193" i="20"/>
  <c r="E192" i="20"/>
  <c r="E191" i="20"/>
  <c r="E185" i="20"/>
  <c r="E184" i="20"/>
  <c r="E183" i="20"/>
  <c r="E177" i="20"/>
  <c r="E176" i="20"/>
  <c r="E175" i="20"/>
  <c r="B161" i="20"/>
  <c r="F162" i="20" s="1"/>
  <c r="B157" i="20"/>
  <c r="F159" i="20" s="1"/>
  <c r="R156" i="20"/>
  <c r="P156" i="20"/>
  <c r="K156" i="20"/>
  <c r="I156" i="20"/>
  <c r="AA147" i="20"/>
  <c r="U128" i="20"/>
  <c r="Q128" i="20"/>
  <c r="Q127" i="20"/>
  <c r="U127" i="20" s="1"/>
  <c r="Q126" i="20"/>
  <c r="U126" i="20" s="1"/>
  <c r="AA115" i="20"/>
  <c r="U91" i="20"/>
  <c r="AA86" i="20"/>
  <c r="AA43" i="20"/>
  <c r="Z37" i="20"/>
  <c r="Z36" i="20"/>
  <c r="Z35" i="20"/>
  <c r="Z34" i="20"/>
  <c r="Z33" i="20"/>
  <c r="Z32" i="20"/>
  <c r="N30" i="20" s="1"/>
  <c r="L25" i="20"/>
  <c r="AA394" i="19"/>
  <c r="AA342" i="19"/>
  <c r="E369" i="19"/>
  <c r="E368" i="19"/>
  <c r="E367" i="19"/>
  <c r="E193" i="19"/>
  <c r="E192" i="19"/>
  <c r="E191" i="19"/>
  <c r="E185" i="19"/>
  <c r="E184" i="19"/>
  <c r="E183" i="19"/>
  <c r="AA322" i="19"/>
  <c r="AA286" i="19"/>
  <c r="F278" i="19"/>
  <c r="F284" i="19" s="1"/>
  <c r="S284" i="19" s="1"/>
  <c r="F277" i="19"/>
  <c r="F280" i="19" s="1"/>
  <c r="S280" i="19" s="1"/>
  <c r="F276" i="19"/>
  <c r="F282" i="19" s="1"/>
  <c r="S282" i="19" s="1"/>
  <c r="F275" i="19"/>
  <c r="F274" i="19"/>
  <c r="F273" i="19"/>
  <c r="X263" i="19"/>
  <c r="N263" i="19"/>
  <c r="X262" i="19"/>
  <c r="N262" i="19"/>
  <c r="X261" i="19"/>
  <c r="N261" i="19"/>
  <c r="X260" i="19"/>
  <c r="N260" i="19"/>
  <c r="X259" i="19"/>
  <c r="N259" i="19"/>
  <c r="X258" i="19"/>
  <c r="N258" i="19"/>
  <c r="X257" i="19"/>
  <c r="N257" i="19"/>
  <c r="X256" i="19"/>
  <c r="N256" i="19"/>
  <c r="X255" i="19"/>
  <c r="N255" i="19"/>
  <c r="X254" i="19"/>
  <c r="N254" i="19"/>
  <c r="X253" i="19"/>
  <c r="N253" i="19"/>
  <c r="X252" i="19"/>
  <c r="N252" i="19"/>
  <c r="X251" i="19"/>
  <c r="N251" i="19"/>
  <c r="X250" i="19"/>
  <c r="N250" i="19"/>
  <c r="X249" i="19"/>
  <c r="N249" i="19"/>
  <c r="X248" i="19"/>
  <c r="N248" i="19"/>
  <c r="X247" i="19"/>
  <c r="N247" i="19"/>
  <c r="X246" i="19"/>
  <c r="N246" i="19"/>
  <c r="AA241" i="19"/>
  <c r="X236" i="19"/>
  <c r="N236" i="19"/>
  <c r="X235" i="19"/>
  <c r="N235" i="19"/>
  <c r="X234" i="19"/>
  <c r="N234" i="19"/>
  <c r="X233" i="19"/>
  <c r="N233" i="19"/>
  <c r="X232" i="19"/>
  <c r="N232" i="19"/>
  <c r="X231" i="19"/>
  <c r="N231" i="19"/>
  <c r="X230" i="19"/>
  <c r="N230" i="19"/>
  <c r="X229" i="19"/>
  <c r="N229" i="19"/>
  <c r="X228" i="19"/>
  <c r="N228" i="19"/>
  <c r="X227" i="19"/>
  <c r="N227" i="19"/>
  <c r="X226" i="19"/>
  <c r="N226" i="19"/>
  <c r="X225" i="19"/>
  <c r="N225" i="19"/>
  <c r="X224" i="19"/>
  <c r="N224" i="19"/>
  <c r="X223" i="19"/>
  <c r="N223" i="19"/>
  <c r="X222" i="19"/>
  <c r="N222" i="19"/>
  <c r="X221" i="19"/>
  <c r="N221" i="19"/>
  <c r="X220" i="19"/>
  <c r="N220" i="19"/>
  <c r="X219" i="19"/>
  <c r="N219" i="19"/>
  <c r="AA209" i="19"/>
  <c r="AA195" i="19"/>
  <c r="E177" i="19"/>
  <c r="E176" i="19"/>
  <c r="E175" i="19"/>
  <c r="F163" i="19"/>
  <c r="I160" i="19"/>
  <c r="R156" i="19"/>
  <c r="P156" i="19"/>
  <c r="K156" i="19"/>
  <c r="I156" i="19"/>
  <c r="AA147" i="19"/>
  <c r="Q128" i="19"/>
  <c r="U128" i="19" s="1"/>
  <c r="Q127" i="19"/>
  <c r="U127" i="19" s="1"/>
  <c r="Q126" i="19"/>
  <c r="U126" i="19" s="1"/>
  <c r="AA115" i="19"/>
  <c r="U91" i="19"/>
  <c r="AA86" i="19"/>
  <c r="AA43" i="19"/>
  <c r="Z37" i="19"/>
  <c r="Z36" i="19"/>
  <c r="Z35" i="19"/>
  <c r="Z34" i="19"/>
  <c r="Z33" i="19"/>
  <c r="Z32" i="19"/>
  <c r="N30" i="19" s="1"/>
  <c r="L25" i="19"/>
  <c r="Y368" i="22" l="1"/>
  <c r="Y176" i="22" s="1"/>
  <c r="Y171" i="22"/>
  <c r="Z140" i="21"/>
  <c r="Y281" i="21"/>
  <c r="V281" i="21"/>
  <c r="O347" i="21"/>
  <c r="Y348" i="21" s="1"/>
  <c r="Y367" i="21" s="1"/>
  <c r="Y175" i="21" s="1"/>
  <c r="Z157" i="21"/>
  <c r="Y170" i="21"/>
  <c r="X75" i="21"/>
  <c r="Y368" i="21"/>
  <c r="Y176" i="21" s="1"/>
  <c r="Y171" i="21"/>
  <c r="V76" i="21"/>
  <c r="X76" i="21" s="1"/>
  <c r="Z138" i="21"/>
  <c r="Z142" i="21"/>
  <c r="O386" i="19"/>
  <c r="Q385" i="19"/>
  <c r="F368" i="20"/>
  <c r="K382" i="19"/>
  <c r="F369" i="19"/>
  <c r="U143" i="19"/>
  <c r="K308" i="20"/>
  <c r="K310" i="20"/>
  <c r="W158" i="20"/>
  <c r="Z157" i="20"/>
  <c r="W162" i="20"/>
  <c r="Z161" i="20"/>
  <c r="K309" i="19"/>
  <c r="K378" i="19"/>
  <c r="Q282" i="19"/>
  <c r="U140" i="19"/>
  <c r="Q276" i="19"/>
  <c r="K351" i="19"/>
  <c r="U137" i="19"/>
  <c r="S317" i="19"/>
  <c r="F391" i="19"/>
  <c r="Q279" i="19"/>
  <c r="K308" i="19"/>
  <c r="K355" i="19"/>
  <c r="S386" i="19"/>
  <c r="K386" i="19"/>
  <c r="S355" i="19"/>
  <c r="F368" i="19"/>
  <c r="F390" i="19"/>
  <c r="F392" i="19"/>
  <c r="S370" i="19"/>
  <c r="K370" i="19"/>
  <c r="K309" i="20"/>
  <c r="S310" i="19"/>
  <c r="K320" i="20"/>
  <c r="S351" i="19"/>
  <c r="K359" i="19"/>
  <c r="S382" i="19"/>
  <c r="S320" i="19"/>
  <c r="K374" i="19"/>
  <c r="K317" i="20"/>
  <c r="S378" i="19"/>
  <c r="K347" i="19"/>
  <c r="K363" i="19"/>
  <c r="F420" i="20"/>
  <c r="S402" i="20"/>
  <c r="K370" i="20"/>
  <c r="F369" i="20"/>
  <c r="K406" i="20"/>
  <c r="S355" i="20"/>
  <c r="K347" i="20"/>
  <c r="K359" i="20"/>
  <c r="K414" i="20"/>
  <c r="K402" i="20"/>
  <c r="S406" i="20"/>
  <c r="F392" i="20"/>
  <c r="K355" i="20"/>
  <c r="K374" i="20"/>
  <c r="S386" i="20"/>
  <c r="S382" i="20"/>
  <c r="S410" i="20"/>
  <c r="K386" i="20"/>
  <c r="K351" i="20"/>
  <c r="K363" i="20"/>
  <c r="K410" i="20"/>
  <c r="S414" i="20"/>
  <c r="O382" i="19"/>
  <c r="Z258" i="19"/>
  <c r="Z252" i="19"/>
  <c r="Z246" i="19"/>
  <c r="O386" i="20"/>
  <c r="W382" i="20"/>
  <c r="Q389" i="20"/>
  <c r="W386" i="20" s="1"/>
  <c r="W382" i="19"/>
  <c r="I417" i="20"/>
  <c r="I417" i="19"/>
  <c r="Q366" i="19"/>
  <c r="I413" i="20"/>
  <c r="I413" i="19"/>
  <c r="F367" i="20"/>
  <c r="S359" i="20"/>
  <c r="F367" i="19"/>
  <c r="U145" i="20"/>
  <c r="P70" i="20"/>
  <c r="P71" i="20"/>
  <c r="P70" i="19"/>
  <c r="P72" i="20"/>
  <c r="Q284" i="20"/>
  <c r="F174" i="19"/>
  <c r="L205" i="19"/>
  <c r="I183" i="20"/>
  <c r="F179" i="20"/>
  <c r="F180" i="20"/>
  <c r="L206" i="20"/>
  <c r="U97" i="20"/>
  <c r="U97" i="19"/>
  <c r="U137" i="20"/>
  <c r="R300" i="20"/>
  <c r="U98" i="20"/>
  <c r="R300" i="19"/>
  <c r="F113" i="19"/>
  <c r="U113" i="19" s="1"/>
  <c r="U140" i="20"/>
  <c r="R301" i="20"/>
  <c r="W340" i="20"/>
  <c r="P82" i="19"/>
  <c r="F187" i="19"/>
  <c r="Q278" i="20"/>
  <c r="I193" i="19"/>
  <c r="F181" i="20"/>
  <c r="Q278" i="19"/>
  <c r="F173" i="19"/>
  <c r="F190" i="20"/>
  <c r="I193" i="20"/>
  <c r="F178" i="19"/>
  <c r="L205" i="20"/>
  <c r="Q279" i="20"/>
  <c r="F187" i="20"/>
  <c r="P76" i="20"/>
  <c r="F178" i="20"/>
  <c r="F188" i="19"/>
  <c r="F173" i="20"/>
  <c r="F189" i="20"/>
  <c r="F174" i="20"/>
  <c r="P75" i="19"/>
  <c r="U112" i="20"/>
  <c r="F157" i="20"/>
  <c r="E157" i="20" s="1"/>
  <c r="I184" i="20"/>
  <c r="U112" i="19"/>
  <c r="U145" i="19"/>
  <c r="F158" i="20"/>
  <c r="E158" i="20" s="1"/>
  <c r="Q284" i="19"/>
  <c r="P75" i="20"/>
  <c r="F113" i="20"/>
  <c r="U113" i="20" s="1"/>
  <c r="U142" i="20"/>
  <c r="Q281" i="20"/>
  <c r="F179" i="19"/>
  <c r="F188" i="20"/>
  <c r="F189" i="19"/>
  <c r="U142" i="19"/>
  <c r="F171" i="20"/>
  <c r="Q281" i="19"/>
  <c r="U98" i="19"/>
  <c r="L207" i="20"/>
  <c r="U143" i="20"/>
  <c r="F171" i="19"/>
  <c r="Q282" i="20"/>
  <c r="I185" i="20"/>
  <c r="F110" i="20"/>
  <c r="B110" i="20" s="1"/>
  <c r="U139" i="20"/>
  <c r="F161" i="20"/>
  <c r="E161" i="20" s="1"/>
  <c r="F182" i="20"/>
  <c r="P81" i="20"/>
  <c r="F110" i="19"/>
  <c r="B110" i="19" s="1"/>
  <c r="F172" i="20"/>
  <c r="I191" i="19"/>
  <c r="I183" i="19"/>
  <c r="P77" i="20"/>
  <c r="U99" i="20"/>
  <c r="U99" i="19"/>
  <c r="F180" i="19"/>
  <c r="I184" i="19"/>
  <c r="L206" i="19"/>
  <c r="R302" i="20"/>
  <c r="P77" i="19"/>
  <c r="F170" i="20"/>
  <c r="F181" i="19"/>
  <c r="I185" i="19"/>
  <c r="L207" i="19"/>
  <c r="P80" i="20"/>
  <c r="F170" i="19"/>
  <c r="I175" i="20"/>
  <c r="I191" i="20"/>
  <c r="Q276" i="20"/>
  <c r="R302" i="19"/>
  <c r="U139" i="19"/>
  <c r="F182" i="19"/>
  <c r="I175" i="19"/>
  <c r="R301" i="19"/>
  <c r="P82" i="20"/>
  <c r="F111" i="20"/>
  <c r="U111" i="20" s="1"/>
  <c r="F163" i="20"/>
  <c r="E163" i="20" s="1"/>
  <c r="F172" i="19"/>
  <c r="F186" i="20"/>
  <c r="I176" i="20"/>
  <c r="I192" i="20"/>
  <c r="P76" i="19"/>
  <c r="F190" i="19"/>
  <c r="P71" i="19"/>
  <c r="P80" i="19"/>
  <c r="F111" i="19"/>
  <c r="U111" i="19" s="1"/>
  <c r="F161" i="19"/>
  <c r="E161" i="19" s="1"/>
  <c r="F186" i="19"/>
  <c r="I176" i="19"/>
  <c r="I192" i="19"/>
  <c r="F158" i="19"/>
  <c r="E158" i="19" s="1"/>
  <c r="P81" i="19"/>
  <c r="F162" i="19"/>
  <c r="E162" i="19" s="1"/>
  <c r="I177" i="20"/>
  <c r="F157" i="19"/>
  <c r="E157" i="19" s="1"/>
  <c r="F159" i="19"/>
  <c r="E159" i="19" s="1"/>
  <c r="P72" i="19"/>
  <c r="I177" i="19"/>
  <c r="Z246" i="20"/>
  <c r="E347" i="20"/>
  <c r="E348" i="20"/>
  <c r="I362" i="20"/>
  <c r="I366" i="20"/>
  <c r="L199" i="19"/>
  <c r="T199" i="19" s="1"/>
  <c r="V276" i="20"/>
  <c r="K164" i="20"/>
  <c r="R164" i="20"/>
  <c r="P164" i="20"/>
  <c r="U161" i="20" s="1"/>
  <c r="Q362" i="20"/>
  <c r="P5" i="20"/>
  <c r="R5" i="20"/>
  <c r="U5" i="20"/>
  <c r="W5" i="20"/>
  <c r="I366" i="19"/>
  <c r="F279" i="20"/>
  <c r="S279" i="20" s="1"/>
  <c r="N153" i="20"/>
  <c r="F280" i="20"/>
  <c r="S280" i="20" s="1"/>
  <c r="Q363" i="20"/>
  <c r="Q366" i="20" s="1"/>
  <c r="Y276" i="20"/>
  <c r="F281" i="20"/>
  <c r="S281" i="20" s="1"/>
  <c r="Y281" i="20" s="1"/>
  <c r="U153" i="20"/>
  <c r="Z225" i="20"/>
  <c r="F284" i="20"/>
  <c r="S284" i="20" s="1"/>
  <c r="Y284" i="20" s="1"/>
  <c r="V61" i="20"/>
  <c r="E70" i="20"/>
  <c r="E76" i="20"/>
  <c r="O96" i="20"/>
  <c r="R96" i="20" s="1"/>
  <c r="E155" i="20"/>
  <c r="L199" i="20"/>
  <c r="T199" i="20" s="1"/>
  <c r="Z231" i="20"/>
  <c r="E71" i="20"/>
  <c r="E75" i="20"/>
  <c r="E360" i="20"/>
  <c r="E72" i="20"/>
  <c r="E356" i="20"/>
  <c r="E352" i="20"/>
  <c r="W339" i="20"/>
  <c r="Z27" i="20"/>
  <c r="E162" i="20"/>
  <c r="E77" i="20"/>
  <c r="P160" i="20"/>
  <c r="R160" i="20"/>
  <c r="W333" i="20"/>
  <c r="Y278" i="20"/>
  <c r="V278" i="20"/>
  <c r="E364" i="20"/>
  <c r="E159" i="20"/>
  <c r="W334" i="20"/>
  <c r="I160" i="20"/>
  <c r="S277" i="20"/>
  <c r="E349" i="20"/>
  <c r="E153" i="20"/>
  <c r="K160" i="20"/>
  <c r="Z219" i="20"/>
  <c r="F282" i="20"/>
  <c r="S282" i="20" s="1"/>
  <c r="I164" i="20"/>
  <c r="E347" i="19"/>
  <c r="Q362" i="19"/>
  <c r="E360" i="19"/>
  <c r="E348" i="19"/>
  <c r="I362" i="19"/>
  <c r="E352" i="19"/>
  <c r="E356" i="19"/>
  <c r="E349" i="19"/>
  <c r="E364" i="19"/>
  <c r="P205" i="19"/>
  <c r="P206" i="19"/>
  <c r="L299" i="19"/>
  <c r="O299" i="19" s="1"/>
  <c r="L300" i="19"/>
  <c r="O300" i="19" s="1"/>
  <c r="W339" i="19"/>
  <c r="W340" i="19"/>
  <c r="S276" i="19"/>
  <c r="Y276" i="19" s="1"/>
  <c r="L302" i="19"/>
  <c r="O302" i="19" s="1"/>
  <c r="Z231" i="19"/>
  <c r="Z225" i="19"/>
  <c r="Z219" i="19"/>
  <c r="F283" i="19"/>
  <c r="S283" i="19" s="1"/>
  <c r="F139" i="19"/>
  <c r="E155" i="19"/>
  <c r="O99" i="19"/>
  <c r="R99" i="19" s="1"/>
  <c r="F142" i="19"/>
  <c r="Q142" i="19" s="1"/>
  <c r="F144" i="19"/>
  <c r="Q144" i="19" s="1"/>
  <c r="O96" i="19"/>
  <c r="E153" i="19"/>
  <c r="O97" i="19"/>
  <c r="F135" i="19"/>
  <c r="Q135" i="19" s="1"/>
  <c r="U153" i="19"/>
  <c r="N153" i="19"/>
  <c r="E76" i="19"/>
  <c r="E71" i="19"/>
  <c r="E77" i="19"/>
  <c r="S277" i="19"/>
  <c r="E70" i="19"/>
  <c r="E72" i="19"/>
  <c r="F279" i="19"/>
  <c r="S279" i="19" s="1"/>
  <c r="E75" i="19"/>
  <c r="E163" i="19"/>
  <c r="I164" i="19"/>
  <c r="O91" i="19"/>
  <c r="W334" i="19"/>
  <c r="R5" i="19"/>
  <c r="P5" i="19"/>
  <c r="T5" i="19"/>
  <c r="V284" i="19"/>
  <c r="Y284" i="19"/>
  <c r="K164" i="19"/>
  <c r="Y5" i="19"/>
  <c r="R164" i="19"/>
  <c r="F281" i="19"/>
  <c r="S281" i="19" s="1"/>
  <c r="K160" i="19"/>
  <c r="N157" i="19" s="1"/>
  <c r="E60" i="19"/>
  <c r="W5" i="19"/>
  <c r="P164" i="19"/>
  <c r="U161" i="19" s="1"/>
  <c r="S278" i="19"/>
  <c r="U5" i="19"/>
  <c r="E63" i="19"/>
  <c r="P160" i="19"/>
  <c r="R160" i="19"/>
  <c r="E58" i="19"/>
  <c r="E62" i="19"/>
  <c r="E61" i="19"/>
  <c r="W333" i="19"/>
  <c r="E55" i="19"/>
  <c r="E59" i="19"/>
  <c r="W154" i="20" l="1"/>
  <c r="Z153" i="20" s="1"/>
  <c r="Y383" i="19"/>
  <c r="W154" i="19"/>
  <c r="Z153" i="19" s="1"/>
  <c r="Y189" i="19"/>
  <c r="M398" i="19"/>
  <c r="I398" i="19"/>
  <c r="U399" i="19"/>
  <c r="Q400" i="19"/>
  <c r="Q403" i="19" s="1"/>
  <c r="Q406" i="19" s="1"/>
  <c r="Q409" i="19" s="1"/>
  <c r="W406" i="19" s="1"/>
  <c r="U400" i="19"/>
  <c r="Q399" i="19"/>
  <c r="Q402" i="19" s="1"/>
  <c r="Q405" i="19" s="1"/>
  <c r="W402" i="19" s="1"/>
  <c r="Q398" i="19"/>
  <c r="U398" i="19"/>
  <c r="M400" i="19"/>
  <c r="I400" i="19"/>
  <c r="I403" i="19" s="1"/>
  <c r="I406" i="19" s="1"/>
  <c r="M399" i="19"/>
  <c r="I399" i="19"/>
  <c r="I402" i="19" s="1"/>
  <c r="Q389" i="19"/>
  <c r="W386" i="19" s="1"/>
  <c r="Y387" i="19" s="1"/>
  <c r="Y190" i="20"/>
  <c r="Y190" i="19"/>
  <c r="Y189" i="20"/>
  <c r="Y182" i="20"/>
  <c r="Y181" i="20"/>
  <c r="Q270" i="20"/>
  <c r="Q271" i="20"/>
  <c r="Q271" i="19"/>
  <c r="Q270" i="19"/>
  <c r="N161" i="20"/>
  <c r="Y280" i="20"/>
  <c r="Y279" i="20"/>
  <c r="K152" i="20"/>
  <c r="R152" i="20"/>
  <c r="U157" i="20"/>
  <c r="N157" i="20"/>
  <c r="V281" i="20"/>
  <c r="F145" i="20"/>
  <c r="W145" i="20" s="1"/>
  <c r="V280" i="20"/>
  <c r="S335" i="20"/>
  <c r="O335" i="20"/>
  <c r="K335" i="20"/>
  <c r="G335" i="20"/>
  <c r="W332" i="20"/>
  <c r="W335" i="20" s="1"/>
  <c r="O111" i="19"/>
  <c r="R111" i="19" s="1"/>
  <c r="V284" i="20"/>
  <c r="V279" i="20"/>
  <c r="F144" i="20"/>
  <c r="Q144" i="20" s="1"/>
  <c r="F143" i="20"/>
  <c r="Q143" i="20" s="1"/>
  <c r="L61" i="20"/>
  <c r="X61" i="20"/>
  <c r="E61" i="20"/>
  <c r="V58" i="20"/>
  <c r="E58" i="20"/>
  <c r="L58" i="20"/>
  <c r="O91" i="20"/>
  <c r="R91" i="20" s="1"/>
  <c r="V277" i="20"/>
  <c r="Y277" i="20"/>
  <c r="O99" i="20"/>
  <c r="R99" i="20" s="1"/>
  <c r="P206" i="20"/>
  <c r="F137" i="20"/>
  <c r="F139" i="20"/>
  <c r="F138" i="20"/>
  <c r="E55" i="20"/>
  <c r="X55" i="20"/>
  <c r="V55" i="20"/>
  <c r="N55" i="20"/>
  <c r="P55" i="20" s="1"/>
  <c r="L55" i="20"/>
  <c r="F140" i="20"/>
  <c r="F142" i="20"/>
  <c r="F141" i="20"/>
  <c r="F136" i="20"/>
  <c r="Q136" i="20" s="1"/>
  <c r="F135" i="20"/>
  <c r="Q135" i="20" s="1"/>
  <c r="F134" i="20"/>
  <c r="Q134" i="20" s="1"/>
  <c r="V63" i="20"/>
  <c r="L63" i="20"/>
  <c r="E63" i="20"/>
  <c r="E57" i="20"/>
  <c r="V57" i="20"/>
  <c r="L57" i="20"/>
  <c r="E60" i="20"/>
  <c r="L60" i="20"/>
  <c r="V60" i="20"/>
  <c r="E59" i="20"/>
  <c r="V59" i="20"/>
  <c r="L59" i="20"/>
  <c r="V283" i="20"/>
  <c r="V282" i="20"/>
  <c r="Y282" i="20"/>
  <c r="E154" i="20"/>
  <c r="Q347" i="20" s="1"/>
  <c r="E170" i="20"/>
  <c r="E186" i="20"/>
  <c r="L299" i="20"/>
  <c r="O299" i="20" s="1"/>
  <c r="U105" i="20"/>
  <c r="O105" i="20"/>
  <c r="R105" i="20" s="1"/>
  <c r="L300" i="20"/>
  <c r="L294" i="20"/>
  <c r="O294" i="20" s="1"/>
  <c r="R294" i="20"/>
  <c r="Y283" i="20"/>
  <c r="O98" i="20"/>
  <c r="R98" i="20" s="1"/>
  <c r="O97" i="20"/>
  <c r="R97" i="20" s="1"/>
  <c r="V56" i="20"/>
  <c r="L56" i="20"/>
  <c r="E56" i="20"/>
  <c r="P205" i="20"/>
  <c r="L301" i="20"/>
  <c r="O301" i="20" s="1"/>
  <c r="L62" i="20"/>
  <c r="V62" i="20"/>
  <c r="E62" i="20"/>
  <c r="F141" i="19"/>
  <c r="Q141" i="19" s="1"/>
  <c r="F140" i="19"/>
  <c r="Q140" i="19" s="1"/>
  <c r="E186" i="19"/>
  <c r="E170" i="19"/>
  <c r="Y283" i="19"/>
  <c r="V280" i="19"/>
  <c r="Y280" i="19"/>
  <c r="O110" i="19"/>
  <c r="R110" i="19" s="1"/>
  <c r="O105" i="19"/>
  <c r="R105" i="19" s="1"/>
  <c r="U105" i="19"/>
  <c r="E56" i="19"/>
  <c r="V276" i="19"/>
  <c r="V283" i="19"/>
  <c r="E57" i="19"/>
  <c r="V279" i="19"/>
  <c r="L301" i="19"/>
  <c r="O301" i="19" s="1"/>
  <c r="Y282" i="19"/>
  <c r="V282" i="19"/>
  <c r="F136" i="19"/>
  <c r="Q136" i="19" s="1"/>
  <c r="Y279" i="19"/>
  <c r="F145" i="19"/>
  <c r="W145" i="19" s="1"/>
  <c r="K152" i="19"/>
  <c r="F143" i="19"/>
  <c r="Q143" i="19" s="1"/>
  <c r="F134" i="19"/>
  <c r="Q134" i="19" s="1"/>
  <c r="W144" i="19"/>
  <c r="R97" i="19"/>
  <c r="W142" i="19"/>
  <c r="E154" i="19"/>
  <c r="I348" i="19" s="1"/>
  <c r="I351" i="19" s="1"/>
  <c r="O98" i="19"/>
  <c r="R98" i="19" s="1"/>
  <c r="F138" i="19"/>
  <c r="R152" i="19"/>
  <c r="F137" i="19"/>
  <c r="Q137" i="19" s="1"/>
  <c r="W139" i="19"/>
  <c r="Q139" i="19"/>
  <c r="R96" i="19"/>
  <c r="N161" i="19"/>
  <c r="W162" i="19" s="1"/>
  <c r="Z161" i="19" s="1"/>
  <c r="U157" i="19"/>
  <c r="W158" i="19" s="1"/>
  <c r="Z157" i="19" s="1"/>
  <c r="Y277" i="19"/>
  <c r="V277" i="19"/>
  <c r="L294" i="19"/>
  <c r="O294" i="19" s="1"/>
  <c r="R294" i="19"/>
  <c r="R91" i="19"/>
  <c r="W332" i="19"/>
  <c r="W335" i="19" s="1"/>
  <c r="G335" i="19"/>
  <c r="S335" i="19"/>
  <c r="O335" i="19"/>
  <c r="K335" i="19"/>
  <c r="V61" i="19"/>
  <c r="L61" i="19"/>
  <c r="Y281" i="19"/>
  <c r="V281" i="19"/>
  <c r="V56" i="19"/>
  <c r="L56" i="19"/>
  <c r="Y278" i="19"/>
  <c r="V278" i="19"/>
  <c r="V62" i="19"/>
  <c r="L62" i="19"/>
  <c r="V58" i="19"/>
  <c r="L58" i="19"/>
  <c r="V59" i="19"/>
  <c r="L59" i="19"/>
  <c r="L57" i="19"/>
  <c r="V57" i="19"/>
  <c r="L63" i="19"/>
  <c r="V63" i="19"/>
  <c r="N55" i="19"/>
  <c r="P55" i="19" s="1"/>
  <c r="L55" i="19"/>
  <c r="X55" i="19"/>
  <c r="V55" i="19"/>
  <c r="V60" i="19"/>
  <c r="L60" i="19"/>
  <c r="O112" i="19"/>
  <c r="R112" i="19" s="1"/>
  <c r="H70" i="19" l="1"/>
  <c r="N70" i="19"/>
  <c r="J70" i="19"/>
  <c r="Y170" i="19"/>
  <c r="U349" i="20"/>
  <c r="I371" i="19"/>
  <c r="I374" i="19" s="1"/>
  <c r="U371" i="19"/>
  <c r="U370" i="19"/>
  <c r="Q371" i="19"/>
  <c r="Q374" i="19" s="1"/>
  <c r="M370" i="19"/>
  <c r="Q372" i="19"/>
  <c r="Q375" i="19" s="1"/>
  <c r="Q378" i="19" s="1"/>
  <c r="Q381" i="19" s="1"/>
  <c r="W378" i="19" s="1"/>
  <c r="M347" i="19"/>
  <c r="Y178" i="19"/>
  <c r="I372" i="19"/>
  <c r="I375" i="19" s="1"/>
  <c r="I378" i="19" s="1"/>
  <c r="I381" i="19" s="1"/>
  <c r="O378" i="19" s="1"/>
  <c r="I347" i="19"/>
  <c r="Q347" i="19"/>
  <c r="I349" i="19"/>
  <c r="I352" i="19" s="1"/>
  <c r="I355" i="19" s="1"/>
  <c r="I358" i="19" s="1"/>
  <c r="L70" i="19"/>
  <c r="U347" i="19"/>
  <c r="Q370" i="19"/>
  <c r="I370" i="19"/>
  <c r="U372" i="19"/>
  <c r="M371" i="19"/>
  <c r="M372" i="19"/>
  <c r="M373" i="19" s="1"/>
  <c r="O300" i="20"/>
  <c r="W302" i="20" s="1"/>
  <c r="W300" i="19"/>
  <c r="W301" i="19"/>
  <c r="U347" i="20"/>
  <c r="M347" i="20"/>
  <c r="I347" i="20"/>
  <c r="Y170" i="20"/>
  <c r="I372" i="20"/>
  <c r="I375" i="20" s="1"/>
  <c r="I378" i="20" s="1"/>
  <c r="I381" i="20" s="1"/>
  <c r="O378" i="20" s="1"/>
  <c r="I370" i="20"/>
  <c r="U370" i="20"/>
  <c r="Q400" i="20"/>
  <c r="Q403" i="20" s="1"/>
  <c r="Q406" i="20" s="1"/>
  <c r="Q409" i="20" s="1"/>
  <c r="W406" i="20" s="1"/>
  <c r="I348" i="20"/>
  <c r="I351" i="20" s="1"/>
  <c r="U400" i="20"/>
  <c r="M399" i="20"/>
  <c r="U398" i="20"/>
  <c r="Q372" i="20"/>
  <c r="Q375" i="20" s="1"/>
  <c r="Q378" i="20" s="1"/>
  <c r="Q381" i="20" s="1"/>
  <c r="W378" i="20" s="1"/>
  <c r="I399" i="20"/>
  <c r="I402" i="20" s="1"/>
  <c r="I405" i="20" s="1"/>
  <c r="O402" i="20" s="1"/>
  <c r="Q399" i="20"/>
  <c r="Q402" i="20" s="1"/>
  <c r="Q405" i="20" s="1"/>
  <c r="W402" i="20" s="1"/>
  <c r="M371" i="20"/>
  <c r="M398" i="20"/>
  <c r="Q398" i="20"/>
  <c r="Q371" i="20"/>
  <c r="Q374" i="20" s="1"/>
  <c r="Q377" i="20" s="1"/>
  <c r="I398" i="20"/>
  <c r="I400" i="20"/>
  <c r="I403" i="20" s="1"/>
  <c r="I406" i="20" s="1"/>
  <c r="I409" i="20" s="1"/>
  <c r="O406" i="20" s="1"/>
  <c r="M370" i="20"/>
  <c r="U371" i="20"/>
  <c r="U399" i="20"/>
  <c r="M372" i="20"/>
  <c r="U372" i="20"/>
  <c r="I349" i="20"/>
  <c r="I352" i="20" s="1"/>
  <c r="I355" i="20" s="1"/>
  <c r="I358" i="20" s="1"/>
  <c r="Y178" i="20"/>
  <c r="M400" i="20"/>
  <c r="I371" i="20"/>
  <c r="I374" i="20" s="1"/>
  <c r="I377" i="20" s="1"/>
  <c r="O374" i="20" s="1"/>
  <c r="Q370" i="20"/>
  <c r="Q373" i="20" s="1"/>
  <c r="M401" i="19"/>
  <c r="I409" i="19"/>
  <c r="O406" i="19" s="1"/>
  <c r="N80" i="19"/>
  <c r="H80" i="19"/>
  <c r="L71" i="19"/>
  <c r="H82" i="19"/>
  <c r="J81" i="19"/>
  <c r="L81" i="19"/>
  <c r="L82" i="19"/>
  <c r="H81" i="19"/>
  <c r="J80" i="19"/>
  <c r="J82" i="19"/>
  <c r="T82" i="19" s="1"/>
  <c r="L80" i="19"/>
  <c r="N81" i="19"/>
  <c r="H82" i="20"/>
  <c r="J82" i="20"/>
  <c r="T82" i="20" s="1"/>
  <c r="J80" i="20"/>
  <c r="L80" i="20"/>
  <c r="H81" i="20"/>
  <c r="H80" i="20"/>
  <c r="L81" i="20"/>
  <c r="N81" i="20"/>
  <c r="L82" i="20"/>
  <c r="J81" i="20"/>
  <c r="N80" i="20"/>
  <c r="N82" i="20"/>
  <c r="V82" i="20" s="1"/>
  <c r="N82" i="19"/>
  <c r="V82" i="19" s="1"/>
  <c r="W143" i="20"/>
  <c r="W144" i="20"/>
  <c r="N61" i="20"/>
  <c r="P61" i="20" s="1"/>
  <c r="Z61" i="20" s="1"/>
  <c r="Q145" i="20"/>
  <c r="Z55" i="20"/>
  <c r="Y186" i="19"/>
  <c r="L71" i="20"/>
  <c r="L72" i="20"/>
  <c r="J77" i="20"/>
  <c r="L77" i="20"/>
  <c r="N58" i="20"/>
  <c r="P58" i="20" s="1"/>
  <c r="N72" i="20"/>
  <c r="V72" i="20" s="1"/>
  <c r="H77" i="20"/>
  <c r="X58" i="20"/>
  <c r="N77" i="20"/>
  <c r="V77" i="20" s="1"/>
  <c r="H75" i="20"/>
  <c r="M348" i="20"/>
  <c r="H72" i="20"/>
  <c r="J75" i="20"/>
  <c r="Q348" i="20"/>
  <c r="Q351" i="20" s="1"/>
  <c r="J72" i="20"/>
  <c r="T72" i="20" s="1"/>
  <c r="U308" i="20"/>
  <c r="W308" i="20" s="1"/>
  <c r="U348" i="20"/>
  <c r="M308" i="20"/>
  <c r="J71" i="20"/>
  <c r="M349" i="20"/>
  <c r="Q349" i="20"/>
  <c r="Y186" i="20"/>
  <c r="Y97" i="20"/>
  <c r="Y98" i="20"/>
  <c r="Y99" i="20"/>
  <c r="O113" i="20"/>
  <c r="R113" i="20" s="1"/>
  <c r="O111" i="20"/>
  <c r="R111" i="20" s="1"/>
  <c r="Q138" i="20"/>
  <c r="W138" i="20"/>
  <c r="W137" i="20"/>
  <c r="Q137" i="20"/>
  <c r="W141" i="20"/>
  <c r="Q141" i="20"/>
  <c r="H71" i="20"/>
  <c r="Q316" i="20"/>
  <c r="G315" i="20"/>
  <c r="I316" i="20"/>
  <c r="K316" i="20" s="1"/>
  <c r="G316" i="20"/>
  <c r="G318" i="20" s="1"/>
  <c r="O315" i="20"/>
  <c r="Q315" i="20"/>
  <c r="S315" i="20" s="1"/>
  <c r="O316" i="20"/>
  <c r="O318" i="20" s="1"/>
  <c r="I315" i="20"/>
  <c r="K315" i="20" s="1"/>
  <c r="O110" i="20"/>
  <c r="R110" i="20" s="1"/>
  <c r="W142" i="20"/>
  <c r="Q142" i="20"/>
  <c r="Q319" i="20"/>
  <c r="S319" i="20" s="1"/>
  <c r="O319" i="20"/>
  <c r="I319" i="20"/>
  <c r="K319" i="20" s="1"/>
  <c r="G319" i="20"/>
  <c r="W139" i="20"/>
  <c r="Q139" i="20"/>
  <c r="O112" i="20"/>
  <c r="R112" i="20" s="1"/>
  <c r="W140" i="20"/>
  <c r="Q140" i="20"/>
  <c r="N76" i="20"/>
  <c r="L76" i="20"/>
  <c r="J76" i="20"/>
  <c r="H76" i="20"/>
  <c r="H70" i="20"/>
  <c r="L70" i="20"/>
  <c r="N70" i="20"/>
  <c r="J70" i="20"/>
  <c r="N71" i="20"/>
  <c r="L75" i="20"/>
  <c r="N75" i="20"/>
  <c r="H71" i="19"/>
  <c r="W140" i="19"/>
  <c r="Z140" i="19" s="1"/>
  <c r="W141" i="19"/>
  <c r="Q145" i="19"/>
  <c r="Z145" i="19" s="1"/>
  <c r="N71" i="19"/>
  <c r="H77" i="19"/>
  <c r="Q349" i="19"/>
  <c r="J71" i="19"/>
  <c r="U349" i="19"/>
  <c r="U308" i="19"/>
  <c r="M348" i="19"/>
  <c r="U348" i="19"/>
  <c r="M349" i="19"/>
  <c r="Q348" i="19"/>
  <c r="Q351" i="19" s="1"/>
  <c r="O113" i="19"/>
  <c r="R113" i="19" s="1"/>
  <c r="Y113" i="19" s="1"/>
  <c r="N76" i="19"/>
  <c r="L72" i="19"/>
  <c r="N77" i="19"/>
  <c r="V77" i="19" s="1"/>
  <c r="J77" i="19"/>
  <c r="H76" i="19"/>
  <c r="H72" i="19"/>
  <c r="L77" i="19"/>
  <c r="J72" i="19"/>
  <c r="T72" i="19" s="1"/>
  <c r="Q315" i="19"/>
  <c r="G316" i="19"/>
  <c r="G318" i="19" s="1"/>
  <c r="Q316" i="19"/>
  <c r="O315" i="19"/>
  <c r="I315" i="19"/>
  <c r="O316" i="19"/>
  <c r="O318" i="19" s="1"/>
  <c r="G315" i="19"/>
  <c r="I316" i="19"/>
  <c r="J75" i="19"/>
  <c r="J76" i="19"/>
  <c r="L76" i="19"/>
  <c r="H75" i="19"/>
  <c r="N72" i="19"/>
  <c r="V72" i="19" s="1"/>
  <c r="N75" i="19"/>
  <c r="L75" i="19"/>
  <c r="I319" i="19"/>
  <c r="O319" i="19"/>
  <c r="Q319" i="19"/>
  <c r="G319" i="19"/>
  <c r="M308" i="19"/>
  <c r="Z139" i="19"/>
  <c r="Y99" i="19"/>
  <c r="W143" i="19"/>
  <c r="Z143" i="19" s="1"/>
  <c r="Y98" i="19"/>
  <c r="Y97" i="19"/>
  <c r="N61" i="19"/>
  <c r="P61" i="19" s="1"/>
  <c r="W138" i="19"/>
  <c r="Q138" i="19"/>
  <c r="Z144" i="19" s="1"/>
  <c r="Z142" i="19"/>
  <c r="W137" i="19"/>
  <c r="Z137" i="19" s="1"/>
  <c r="X61" i="19"/>
  <c r="Y111" i="19"/>
  <c r="Y112" i="19"/>
  <c r="X58" i="19"/>
  <c r="N58" i="19"/>
  <c r="P58" i="19" s="1"/>
  <c r="Z55" i="19"/>
  <c r="S319" i="19" l="1"/>
  <c r="W301" i="20"/>
  <c r="Q373" i="19"/>
  <c r="W370" i="19" s="1"/>
  <c r="U373" i="19"/>
  <c r="I373" i="19"/>
  <c r="O370" i="19" s="1"/>
  <c r="Q377" i="19"/>
  <c r="W374" i="19" s="1"/>
  <c r="I377" i="19"/>
  <c r="O374" i="19" s="1"/>
  <c r="W308" i="19"/>
  <c r="K315" i="19"/>
  <c r="W300" i="20"/>
  <c r="Q318" i="19"/>
  <c r="S318" i="19" s="1"/>
  <c r="S316" i="19"/>
  <c r="S315" i="19"/>
  <c r="Y379" i="19"/>
  <c r="Y392" i="19" s="1"/>
  <c r="Q318" i="20"/>
  <c r="S318" i="20" s="1"/>
  <c r="S316" i="20"/>
  <c r="K319" i="19"/>
  <c r="I318" i="19"/>
  <c r="K318" i="19" s="1"/>
  <c r="K316" i="19"/>
  <c r="W302" i="19"/>
  <c r="Y185" i="20"/>
  <c r="Y187" i="20"/>
  <c r="Q352" i="20"/>
  <c r="Q355" i="20" s="1"/>
  <c r="Q358" i="20" s="1"/>
  <c r="M373" i="20"/>
  <c r="I373" i="20"/>
  <c r="O370" i="20" s="1"/>
  <c r="U373" i="20"/>
  <c r="W370" i="20" s="1"/>
  <c r="M401" i="20"/>
  <c r="Q352" i="19"/>
  <c r="Q355" i="19" s="1"/>
  <c r="Q358" i="19" s="1"/>
  <c r="Q401" i="20"/>
  <c r="W398" i="20" s="1"/>
  <c r="I401" i="20"/>
  <c r="O398" i="20" s="1"/>
  <c r="I405" i="19"/>
  <c r="O402" i="19" s="1"/>
  <c r="Y188" i="19"/>
  <c r="U401" i="19"/>
  <c r="M350" i="20"/>
  <c r="I350" i="19"/>
  <c r="U401" i="20"/>
  <c r="Q401" i="19"/>
  <c r="W398" i="19" s="1"/>
  <c r="I401" i="19"/>
  <c r="O398" i="19" s="1"/>
  <c r="W374" i="20"/>
  <c r="M350" i="19"/>
  <c r="Q350" i="20"/>
  <c r="I350" i="20"/>
  <c r="Q350" i="19"/>
  <c r="U350" i="20"/>
  <c r="U350" i="19"/>
  <c r="T81" i="20"/>
  <c r="X82" i="19"/>
  <c r="X82" i="20"/>
  <c r="V81" i="19"/>
  <c r="T80" i="19"/>
  <c r="T81" i="19"/>
  <c r="V80" i="20"/>
  <c r="V81" i="20"/>
  <c r="T80" i="20"/>
  <c r="V80" i="19"/>
  <c r="I354" i="20"/>
  <c r="O351" i="20" s="1"/>
  <c r="T76" i="19"/>
  <c r="T77" i="19"/>
  <c r="X77" i="19" s="1"/>
  <c r="X72" i="20"/>
  <c r="Z138" i="20"/>
  <c r="T77" i="20"/>
  <c r="X77" i="20" s="1"/>
  <c r="Z143" i="20"/>
  <c r="Z58" i="20"/>
  <c r="T75" i="20"/>
  <c r="V71" i="20"/>
  <c r="V76" i="20"/>
  <c r="T71" i="20"/>
  <c r="Y112" i="20"/>
  <c r="Y111" i="20"/>
  <c r="T70" i="20"/>
  <c r="Z145" i="20"/>
  <c r="I318" i="20"/>
  <c r="K318" i="20" s="1"/>
  <c r="Z144" i="20"/>
  <c r="Z140" i="20"/>
  <c r="Z141" i="20"/>
  <c r="V70" i="20"/>
  <c r="Z137" i="20"/>
  <c r="Y113" i="20"/>
  <c r="V75" i="20"/>
  <c r="Z142" i="20"/>
  <c r="T76" i="20"/>
  <c r="Z139" i="20"/>
  <c r="I354" i="19"/>
  <c r="O351" i="19" s="1"/>
  <c r="V76" i="19"/>
  <c r="V75" i="19"/>
  <c r="T75" i="19"/>
  <c r="T70" i="19"/>
  <c r="X72" i="19"/>
  <c r="V70" i="19"/>
  <c r="T71" i="19"/>
  <c r="V71" i="19"/>
  <c r="Z138" i="19"/>
  <c r="Z141" i="19"/>
  <c r="Z61" i="19"/>
  <c r="Z58" i="19"/>
  <c r="U318" i="19" l="1"/>
  <c r="U315" i="19"/>
  <c r="M318" i="19"/>
  <c r="W318" i="19" s="1"/>
  <c r="Y375" i="19"/>
  <c r="Y391" i="19" s="1"/>
  <c r="Y371" i="19"/>
  <c r="Q354" i="19"/>
  <c r="M315" i="19"/>
  <c r="W315" i="19" s="1"/>
  <c r="Y180" i="20"/>
  <c r="Q354" i="20"/>
  <c r="Y193" i="20"/>
  <c r="Y191" i="20"/>
  <c r="Y193" i="19"/>
  <c r="Y188" i="20"/>
  <c r="Y192" i="20"/>
  <c r="Y183" i="20"/>
  <c r="Y184" i="20"/>
  <c r="Y179" i="20"/>
  <c r="X81" i="20"/>
  <c r="X81" i="19"/>
  <c r="X80" i="20"/>
  <c r="X80" i="19"/>
  <c r="U315" i="20"/>
  <c r="W315" i="20" s="1"/>
  <c r="X76" i="19"/>
  <c r="X75" i="20"/>
  <c r="X75" i="19"/>
  <c r="M318" i="20"/>
  <c r="X76" i="20"/>
  <c r="X71" i="20"/>
  <c r="M315" i="20"/>
  <c r="U318" i="20"/>
  <c r="W318" i="20" s="1"/>
  <c r="X70" i="20"/>
  <c r="X70" i="19"/>
  <c r="X71" i="19"/>
  <c r="Y390" i="19" l="1"/>
  <c r="Y187" i="19"/>
  <c r="Y192" i="19"/>
  <c r="Y191" i="19"/>
  <c r="O347" i="20"/>
  <c r="O347" i="19"/>
  <c r="O355" i="19"/>
  <c r="O355" i="20"/>
  <c r="O359" i="20"/>
  <c r="O359" i="19"/>
  <c r="O363" i="19"/>
  <c r="O363" i="20"/>
  <c r="W347" i="19"/>
  <c r="W347" i="20"/>
  <c r="W351" i="20"/>
  <c r="Y352" i="20" s="1"/>
  <c r="W351" i="19"/>
  <c r="W355" i="20"/>
  <c r="W355" i="19"/>
  <c r="Y356" i="19" l="1"/>
  <c r="Y356" i="20"/>
  <c r="Y172" i="20" s="1"/>
  <c r="Y348" i="19"/>
  <c r="Y348" i="20"/>
  <c r="Y352" i="19"/>
  <c r="Y171" i="20"/>
  <c r="Y179" i="19"/>
  <c r="W359" i="19"/>
  <c r="Y360" i="19" s="1"/>
  <c r="W359" i="20"/>
  <c r="Y360" i="20" s="1"/>
  <c r="Y173" i="20" l="1"/>
  <c r="Y368" i="19"/>
  <c r="Y367" i="19"/>
  <c r="Y367" i="20"/>
  <c r="Y175" i="20" s="1"/>
  <c r="Y368" i="20"/>
  <c r="Y176" i="20" s="1"/>
  <c r="Y171" i="19"/>
  <c r="Y173" i="19"/>
  <c r="Y181" i="19"/>
  <c r="Y172" i="19"/>
  <c r="Y180" i="19"/>
  <c r="W363" i="20"/>
  <c r="Y364" i="20" s="1"/>
  <c r="Y369" i="20" s="1"/>
  <c r="W363" i="19"/>
  <c r="Y182" i="19" l="1"/>
  <c r="Y364" i="19"/>
  <c r="Y369" i="19" s="1"/>
  <c r="Y175" i="19"/>
  <c r="Y183" i="19"/>
  <c r="Y176" i="19"/>
  <c r="Y184" i="19"/>
  <c r="Y177" i="20"/>
  <c r="Y174" i="20"/>
  <c r="Y174" i="19"/>
  <c r="Y177" i="19" l="1"/>
  <c r="Y185" i="19"/>
</calcChain>
</file>

<file path=xl/sharedStrings.xml><?xml version="1.0" encoding="utf-8"?>
<sst xmlns="http://schemas.openxmlformats.org/spreadsheetml/2006/main" count="1577" uniqueCount="280">
  <si>
    <t>雇用管理区分</t>
    <rPh sb="0" eb="2">
      <t>コヨウ</t>
    </rPh>
    <rPh sb="2" eb="4">
      <t>カンリ</t>
    </rPh>
    <rPh sb="4" eb="6">
      <t>クブン</t>
    </rPh>
    <phoneticPr fontId="2"/>
  </si>
  <si>
    <t>事業年度</t>
    <rPh sb="0" eb="2">
      <t>ジギョウ</t>
    </rPh>
    <rPh sb="2" eb="4">
      <t>ネンド</t>
    </rPh>
    <phoneticPr fontId="2"/>
  </si>
  <si>
    <t>応募者数</t>
    <rPh sb="0" eb="4">
      <t>オウボシャスウ</t>
    </rPh>
    <phoneticPr fontId="2"/>
  </si>
  <si>
    <t>採用者数</t>
    <rPh sb="0" eb="3">
      <t>サイヨウシャ</t>
    </rPh>
    <rPh sb="3" eb="4">
      <t>スウ</t>
    </rPh>
    <phoneticPr fontId="2"/>
  </si>
  <si>
    <t>３事業年度の平均競争倍率Ａ</t>
    <rPh sb="1" eb="3">
      <t>ジギョウ</t>
    </rPh>
    <rPh sb="3" eb="5">
      <t>ネンド</t>
    </rPh>
    <rPh sb="6" eb="8">
      <t>ヘイキン</t>
    </rPh>
    <rPh sb="8" eb="10">
      <t>キョウソウ</t>
    </rPh>
    <rPh sb="10" eb="12">
      <t>バイリツ</t>
    </rPh>
    <phoneticPr fontId="2"/>
  </si>
  <si>
    <t>直近の
事業年度</t>
    <rPh sb="0" eb="2">
      <t>チョッキン</t>
    </rPh>
    <rPh sb="4" eb="6">
      <t>ジギョウ</t>
    </rPh>
    <rPh sb="6" eb="8">
      <t>ネンド</t>
    </rPh>
    <phoneticPr fontId="2"/>
  </si>
  <si>
    <t>３事業年度の平均競争倍率Ｂ</t>
    <rPh sb="1" eb="3">
      <t>ジギョウ</t>
    </rPh>
    <rPh sb="3" eb="5">
      <t>ネンド</t>
    </rPh>
    <rPh sb="6" eb="8">
      <t>ヘイキン</t>
    </rPh>
    <rPh sb="8" eb="10">
      <t>キョウソウ</t>
    </rPh>
    <rPh sb="10" eb="12">
      <t>バイリツ</t>
    </rPh>
    <phoneticPr fontId="2"/>
  </si>
  <si>
    <t xml:space="preserve">
Ａ×0.8
Ｃ</t>
    <phoneticPr fontId="2"/>
  </si>
  <si>
    <t>女性の
正社員数</t>
    <rPh sb="0" eb="2">
      <t>ジョセイ</t>
    </rPh>
    <rPh sb="4" eb="7">
      <t>セイシャイン</t>
    </rPh>
    <rPh sb="7" eb="8">
      <t>スウ</t>
    </rPh>
    <phoneticPr fontId="2"/>
  </si>
  <si>
    <t>男性の
正社員数</t>
    <rPh sb="0" eb="2">
      <t>ダンセイ</t>
    </rPh>
    <rPh sb="4" eb="7">
      <t>セイシャイン</t>
    </rPh>
    <rPh sb="7" eb="8">
      <t>スウ</t>
    </rPh>
    <phoneticPr fontId="2"/>
  </si>
  <si>
    <t>正社員に占める女性の割合
Ａ</t>
    <rPh sb="0" eb="3">
      <t>セイシャイン</t>
    </rPh>
    <rPh sb="4" eb="5">
      <t>シ</t>
    </rPh>
    <rPh sb="7" eb="9">
      <t>ジョセイ</t>
    </rPh>
    <rPh sb="10" eb="12">
      <t>ワリアイ</t>
    </rPh>
    <phoneticPr fontId="2"/>
  </si>
  <si>
    <t>正社員合計</t>
    <rPh sb="0" eb="3">
      <t>セイシャイン</t>
    </rPh>
    <rPh sb="3" eb="5">
      <t>ゴウケイ</t>
    </rPh>
    <phoneticPr fontId="2"/>
  </si>
  <si>
    <t>正社員の
基幹的な
雇用管理区分</t>
    <rPh sb="0" eb="3">
      <t>セイシャイン</t>
    </rPh>
    <rPh sb="5" eb="8">
      <t>キカンテキ</t>
    </rPh>
    <rPh sb="10" eb="12">
      <t>コヨウ</t>
    </rPh>
    <rPh sb="12" eb="14">
      <t>カンリ</t>
    </rPh>
    <rPh sb="14" eb="15">
      <t>ク</t>
    </rPh>
    <rPh sb="15" eb="16">
      <t>フン</t>
    </rPh>
    <phoneticPr fontId="2"/>
  </si>
  <si>
    <t>　①正社員に占める女性労働者の割合が産業ごとの平均値（平均値が４割を超える場合は４割）以上であること。</t>
    <phoneticPr fontId="2"/>
  </si>
  <si>
    <t>女性/男性の
比（Ａ/Ｂ）
Ｃ</t>
    <rPh sb="0" eb="2">
      <t>ジョセイ</t>
    </rPh>
    <rPh sb="3" eb="5">
      <t>ダンセイ</t>
    </rPh>
    <rPh sb="7" eb="8">
      <t>ヒ</t>
    </rPh>
    <phoneticPr fontId="2"/>
  </si>
  <si>
    <t>合計</t>
    <rPh sb="0" eb="2">
      <t>ゴウケイ</t>
    </rPh>
    <phoneticPr fontId="2"/>
  </si>
  <si>
    <t>次により、雇用管理区分ごとの労働者の法定時間外労働及び法定休日労働時間の合計時間数の平均が、直近の事業年度の各月ごとに全て４５時間未満であること。</t>
    <rPh sb="0" eb="1">
      <t>ツギ</t>
    </rPh>
    <rPh sb="5" eb="7">
      <t>コヨウ</t>
    </rPh>
    <rPh sb="7" eb="9">
      <t>カンリ</t>
    </rPh>
    <rPh sb="9" eb="11">
      <t>クブン</t>
    </rPh>
    <rPh sb="14" eb="17">
      <t>ロウドウシャ</t>
    </rPh>
    <rPh sb="18" eb="20">
      <t>ホウテイ</t>
    </rPh>
    <rPh sb="20" eb="23">
      <t>ジカンガイ</t>
    </rPh>
    <rPh sb="23" eb="25">
      <t>ロウドウ</t>
    </rPh>
    <rPh sb="25" eb="26">
      <t>オヨ</t>
    </rPh>
    <rPh sb="27" eb="29">
      <t>ホウテイ</t>
    </rPh>
    <rPh sb="29" eb="31">
      <t>キュウジツ</t>
    </rPh>
    <rPh sb="31" eb="33">
      <t>ロウドウ</t>
    </rPh>
    <rPh sb="33" eb="35">
      <t>ジカン</t>
    </rPh>
    <rPh sb="36" eb="38">
      <t>ゴウケイ</t>
    </rPh>
    <rPh sb="38" eb="41">
      <t>ジカンスウ</t>
    </rPh>
    <rPh sb="42" eb="44">
      <t>ヘイキン</t>
    </rPh>
    <rPh sb="46" eb="48">
      <t>チョッキン</t>
    </rPh>
    <rPh sb="49" eb="51">
      <t>ジギョウ</t>
    </rPh>
    <rPh sb="51" eb="53">
      <t>ネンド</t>
    </rPh>
    <rPh sb="54" eb="56">
      <t>カクツキ</t>
    </rPh>
    <rPh sb="59" eb="60">
      <t>スベ</t>
    </rPh>
    <rPh sb="63" eb="65">
      <t>ジカン</t>
    </rPh>
    <rPh sb="65" eb="67">
      <t>ミマン</t>
    </rPh>
    <phoneticPr fontId="2"/>
  </si>
  <si>
    <t>　｢各月の対象労働者の(法定時間外労働＋法定休日労働)の総時間数の合計」÷ ｢対象労働者数｣ ＜４５時間</t>
    <rPh sb="50" eb="52">
      <t>ジカン</t>
    </rPh>
    <phoneticPr fontId="2"/>
  </si>
  <si>
    <t>これにより難い場合は、次によること。</t>
    <rPh sb="5" eb="6">
      <t>カタ</t>
    </rPh>
    <rPh sb="7" eb="9">
      <t>バアイ</t>
    </rPh>
    <rPh sb="11" eb="12">
      <t>ツギ</t>
    </rPh>
    <phoneticPr fontId="2"/>
  </si>
  <si>
    <t>月</t>
    <rPh sb="0" eb="1">
      <t>ツキ</t>
    </rPh>
    <phoneticPr fontId="2"/>
  </si>
  <si>
    <t>対象
労働者数</t>
    <rPh sb="0" eb="2">
      <t>タイショウ</t>
    </rPh>
    <rPh sb="3" eb="6">
      <t>ロウドウシャ</t>
    </rPh>
    <rPh sb="6" eb="7">
      <t>スウ</t>
    </rPh>
    <phoneticPr fontId="2"/>
  </si>
  <si>
    <t>総労働時間数の合計</t>
    <rPh sb="0" eb="1">
      <t>ソウ</t>
    </rPh>
    <rPh sb="1" eb="3">
      <t>ロウドウ</t>
    </rPh>
    <rPh sb="3" eb="5">
      <t>ジカン</t>
    </rPh>
    <rPh sb="5" eb="6">
      <t>スウ</t>
    </rPh>
    <rPh sb="7" eb="9">
      <t>ゴウケイ</t>
    </rPh>
    <phoneticPr fontId="2"/>
  </si>
  <si>
    <t>直近の事業年度における各月ごとの時間外労働及び休日労働の平均時間数</t>
    <rPh sb="0" eb="2">
      <t>ジギョウ</t>
    </rPh>
    <rPh sb="2" eb="4">
      <t>ネンド</t>
    </rPh>
    <rPh sb="10" eb="11">
      <t>ツキ</t>
    </rPh>
    <rPh sb="14" eb="17">
      <t>ジカンガイ</t>
    </rPh>
    <rPh sb="17" eb="19">
      <t>ロウドウ</t>
    </rPh>
    <rPh sb="19" eb="20">
      <t>オヨ</t>
    </rPh>
    <rPh sb="21" eb="23">
      <t>キュウジツ</t>
    </rPh>
    <rPh sb="23" eb="25">
      <t>ロウドウ</t>
    </rPh>
    <rPh sb="27" eb="29">
      <t>ヘイキン</t>
    </rPh>
    <rPh sb="29" eb="32">
      <t>ジカンスウ</t>
    </rPh>
    <phoneticPr fontId="2"/>
  </si>
  <si>
    <t>直近の事業年度における各月ごとの総労働時間数と法定労働時間数の差の平均時間数</t>
    <rPh sb="0" eb="1">
      <t>チョッキン</t>
    </rPh>
    <rPh sb="1" eb="3">
      <t>ジギョウ</t>
    </rPh>
    <rPh sb="3" eb="5">
      <t>ネンド</t>
    </rPh>
    <rPh sb="11" eb="13">
      <t>カクツキ</t>
    </rPh>
    <rPh sb="16" eb="17">
      <t>ソウ</t>
    </rPh>
    <rPh sb="17" eb="19">
      <t>ロウドウ</t>
    </rPh>
    <rPh sb="19" eb="21">
      <t>ジカン</t>
    </rPh>
    <rPh sb="21" eb="22">
      <t>スウ</t>
    </rPh>
    <rPh sb="23" eb="25">
      <t>ホウテイ</t>
    </rPh>
    <rPh sb="25" eb="27">
      <t>ロウドウ</t>
    </rPh>
    <rPh sb="27" eb="29">
      <t>ジカン</t>
    </rPh>
    <rPh sb="29" eb="30">
      <t>スウ</t>
    </rPh>
    <rPh sb="31" eb="32">
      <t>サ</t>
    </rPh>
    <rPh sb="33" eb="35">
      <t>ヘイキン</t>
    </rPh>
    <rPh sb="35" eb="38">
      <t>ジカンスウ</t>
    </rPh>
    <phoneticPr fontId="2"/>
  </si>
  <si>
    <t>女性の
管理職者数</t>
    <rPh sb="0" eb="2">
      <t>ジョセイ</t>
    </rPh>
    <rPh sb="4" eb="6">
      <t>カンリ</t>
    </rPh>
    <rPh sb="6" eb="7">
      <t>ショク</t>
    </rPh>
    <rPh sb="7" eb="8">
      <t>シャ</t>
    </rPh>
    <rPh sb="8" eb="9">
      <t>スウ</t>
    </rPh>
    <phoneticPr fontId="2"/>
  </si>
  <si>
    <t>男性の
管理職者数</t>
    <rPh sb="0" eb="2">
      <t>ダンセイ</t>
    </rPh>
    <rPh sb="4" eb="7">
      <t>カンリショク</t>
    </rPh>
    <rPh sb="7" eb="9">
      <t>シャスウ</t>
    </rPh>
    <phoneticPr fontId="2"/>
  </si>
  <si>
    <t>管理職合計</t>
    <rPh sb="0" eb="3">
      <t>カンリショク</t>
    </rPh>
    <rPh sb="3" eb="5">
      <t>ゴウケイ</t>
    </rPh>
    <phoneticPr fontId="2"/>
  </si>
  <si>
    <t>管理職に占める女性の割合
Ａ</t>
    <rPh sb="0" eb="3">
      <t>カンリショク</t>
    </rPh>
    <rPh sb="4" eb="5">
      <t>シ</t>
    </rPh>
    <rPh sb="7" eb="9">
      <t>ジョセイ</t>
    </rPh>
    <rPh sb="10" eb="12">
      <t>ワリアイ</t>
    </rPh>
    <phoneticPr fontId="2"/>
  </si>
  <si>
    <t>課長級に昇進した者の数</t>
    <rPh sb="0" eb="3">
      <t>カチョウキュウ</t>
    </rPh>
    <rPh sb="4" eb="6">
      <t>ショウシン</t>
    </rPh>
    <rPh sb="8" eb="9">
      <t>モノ</t>
    </rPh>
    <rPh sb="10" eb="11">
      <t>カズ</t>
    </rPh>
    <phoneticPr fontId="2"/>
  </si>
  <si>
    <t>事業年度開始日に１つ下の職位の者</t>
    <rPh sb="0" eb="2">
      <t>ジギョウ</t>
    </rPh>
    <rPh sb="2" eb="4">
      <t>ネンド</t>
    </rPh>
    <rPh sb="4" eb="7">
      <t>カイシビ</t>
    </rPh>
    <rPh sb="10" eb="11">
      <t>シタ</t>
    </rPh>
    <rPh sb="12" eb="14">
      <t>ショクイ</t>
    </rPh>
    <rPh sb="15" eb="16">
      <t>モノ</t>
    </rPh>
    <phoneticPr fontId="2"/>
  </si>
  <si>
    <t>昇進割合</t>
    <rPh sb="0" eb="2">
      <t>ショウシン</t>
    </rPh>
    <rPh sb="2" eb="4">
      <t>ワリアイ</t>
    </rPh>
    <phoneticPr fontId="2"/>
  </si>
  <si>
    <t>平均
昇進割合
Ａ</t>
    <rPh sb="0" eb="2">
      <t>ヘイキン</t>
    </rPh>
    <rPh sb="3" eb="5">
      <t>ショウシン</t>
    </rPh>
    <rPh sb="5" eb="7">
      <t>ワリアイ</t>
    </rPh>
    <phoneticPr fontId="2"/>
  </si>
  <si>
    <t>平均
昇進割合
Ｂ</t>
    <rPh sb="0" eb="2">
      <t>ヘイキン</t>
    </rPh>
    <rPh sb="3" eb="5">
      <t>ショウシン</t>
    </rPh>
    <rPh sb="5" eb="7">
      <t>ワリアイ</t>
    </rPh>
    <phoneticPr fontId="2"/>
  </si>
  <si>
    <t>女性/男性の
比（Ａ/Ｂ）
Ｃ</t>
    <phoneticPr fontId="2"/>
  </si>
  <si>
    <t>多彩なキャリアコースに関する状況</t>
    <rPh sb="0" eb="1">
      <t>タサイ</t>
    </rPh>
    <rPh sb="10" eb="11">
      <t>カン</t>
    </rPh>
    <rPh sb="13" eb="15">
      <t>ジョウキョウ</t>
    </rPh>
    <phoneticPr fontId="2"/>
  </si>
  <si>
    <t>判定
Ａ≧Ｂ</t>
    <rPh sb="0" eb="2">
      <t>ハンテイ</t>
    </rPh>
    <phoneticPr fontId="2"/>
  </si>
  <si>
    <t>判定
Ａ≧1</t>
    <phoneticPr fontId="2"/>
  </si>
  <si>
    <t>男性:</t>
    <rPh sb="0" eb="2">
      <t>ダンセイ</t>
    </rPh>
    <phoneticPr fontId="2"/>
  </si>
  <si>
    <t>女性:</t>
    <rPh sb="0" eb="2">
      <t>ジョセイ</t>
    </rPh>
    <phoneticPr fontId="2"/>
  </si>
  <si>
    <t>正社員の女性労働者の
平均継続勤務年数
Ａ</t>
    <rPh sb="0" eb="3">
      <t>セイシャイン</t>
    </rPh>
    <rPh sb="4" eb="6">
      <t>ジョセイ</t>
    </rPh>
    <rPh sb="6" eb="9">
      <t>ロウドウシャ</t>
    </rPh>
    <rPh sb="11" eb="13">
      <t>ヘイキン</t>
    </rPh>
    <rPh sb="13" eb="15">
      <t>ケイゾク</t>
    </rPh>
    <rPh sb="15" eb="17">
      <t>キンム</t>
    </rPh>
    <rPh sb="17" eb="19">
      <t>ネンスウ</t>
    </rPh>
    <phoneticPr fontId="2"/>
  </si>
  <si>
    <t>女　性</t>
    <rPh sb="0" eb="1">
      <t>オンナ</t>
    </rPh>
    <rPh sb="2" eb="3">
      <t>セイ</t>
    </rPh>
    <phoneticPr fontId="2"/>
  </si>
  <si>
    <t>男　性</t>
    <rPh sb="0" eb="1">
      <t>オトコ</t>
    </rPh>
    <rPh sb="2" eb="3">
      <t>セイ</t>
    </rPh>
    <phoneticPr fontId="2"/>
  </si>
  <si>
    <t>３事業年度計</t>
    <rPh sb="1" eb="3">
      <t>ジギョウ</t>
    </rPh>
    <rPh sb="3" eb="5">
      <t>ネンド</t>
    </rPh>
    <rPh sb="5" eb="6">
      <t>ケイ</t>
    </rPh>
    <phoneticPr fontId="2"/>
  </si>
  <si>
    <t>計</t>
    <rPh sb="0" eb="1">
      <t>ケイ</t>
    </rPh>
    <phoneticPr fontId="2"/>
  </si>
  <si>
    <t>企　　業　　名</t>
    <rPh sb="0" eb="1">
      <t>キ</t>
    </rPh>
    <rPh sb="3" eb="4">
      <t>ギョウ</t>
    </rPh>
    <rPh sb="6" eb="7">
      <t>ナ</t>
    </rPh>
    <phoneticPr fontId="2"/>
  </si>
  <si>
    <t>平均時間外労働等時間数
A'</t>
    <rPh sb="0" eb="2">
      <t>ヘイキン</t>
    </rPh>
    <rPh sb="2" eb="5">
      <t>ジカンガイ</t>
    </rPh>
    <rPh sb="5" eb="7">
      <t>ロウドウ</t>
    </rPh>
    <rPh sb="7" eb="8">
      <t>トウ</t>
    </rPh>
    <rPh sb="8" eb="11">
      <t>ジカンスウ</t>
    </rPh>
    <phoneticPr fontId="2"/>
  </si>
  <si>
    <t>2～4年前
事業年度</t>
    <rPh sb="3" eb="5">
      <t>ネンマエ</t>
    </rPh>
    <rPh sb="4" eb="5">
      <t>マエ</t>
    </rPh>
    <rPh sb="6" eb="8">
      <t>ジギョウ</t>
    </rPh>
    <rPh sb="8" eb="10">
      <t>ネンド</t>
    </rPh>
    <phoneticPr fontId="2"/>
  </si>
  <si>
    <t>当該区分の
女性の
正社員数</t>
    <rPh sb="0" eb="2">
      <t>トウガイ</t>
    </rPh>
    <rPh sb="2" eb="4">
      <t>クブン</t>
    </rPh>
    <rPh sb="6" eb="8">
      <t>ジョセイ</t>
    </rPh>
    <rPh sb="10" eb="13">
      <t>セイシャイン</t>
    </rPh>
    <rPh sb="13" eb="14">
      <t>スウ</t>
    </rPh>
    <phoneticPr fontId="2"/>
  </si>
  <si>
    <t>当該区分の
正社員合計</t>
    <rPh sb="0" eb="2">
      <t>トウガイ</t>
    </rPh>
    <rPh sb="2" eb="4">
      <t>クブン</t>
    </rPh>
    <rPh sb="6" eb="9">
      <t>セイシャイン</t>
    </rPh>
    <rPh sb="9" eb="11">
      <t>ゴウケイ</t>
    </rPh>
    <phoneticPr fontId="2"/>
  </si>
  <si>
    <t>当該区分の
男性の
正社員数</t>
    <rPh sb="0" eb="2">
      <t>トウガイ</t>
    </rPh>
    <rPh sb="2" eb="4">
      <t>クブン</t>
    </rPh>
    <rPh sb="6" eb="8">
      <t>ダンセイ</t>
    </rPh>
    <rPh sb="10" eb="13">
      <t>セイシャイン</t>
    </rPh>
    <rPh sb="13" eb="14">
      <t>スウ</t>
    </rPh>
    <phoneticPr fontId="2"/>
  </si>
  <si>
    <t>判定
Ａ≧Ｂ
Ａ≧40%</t>
    <rPh sb="0" eb="2">
      <t>ハンテイ</t>
    </rPh>
    <phoneticPr fontId="2"/>
  </si>
  <si>
    <r>
      <t>　</t>
    </r>
    <r>
      <rPr>
        <u/>
        <sz val="11"/>
        <color theme="1"/>
        <rFont val="ＭＳ ゴシック"/>
        <family val="3"/>
        <charset val="128"/>
      </rPr>
      <t>①正社員に占める女性労働者の割合</t>
    </r>
    <rPh sb="2" eb="5">
      <t>セイシャイン</t>
    </rPh>
    <rPh sb="6" eb="7">
      <t>シ</t>
    </rPh>
    <rPh sb="9" eb="11">
      <t>ジョセイ</t>
    </rPh>
    <rPh sb="11" eb="14">
      <t>ロウドウシャ</t>
    </rPh>
    <rPh sb="15" eb="17">
      <t>ワリアイ</t>
    </rPh>
    <phoneticPr fontId="2"/>
  </si>
  <si>
    <r>
      <t>　</t>
    </r>
    <r>
      <rPr>
        <u/>
        <sz val="11"/>
        <color theme="1"/>
        <rFont val="ＭＳ ゴシック"/>
        <family val="3"/>
        <charset val="128"/>
      </rPr>
      <t>②基幹的な雇用管理区分における正社員に占める女性労働者の割合</t>
    </r>
    <rPh sb="2" eb="5">
      <t>キカンテキ</t>
    </rPh>
    <rPh sb="6" eb="8">
      <t>コヨウ</t>
    </rPh>
    <rPh sb="8" eb="10">
      <t>カンリ</t>
    </rPh>
    <rPh sb="10" eb="12">
      <t>クブン</t>
    </rPh>
    <rPh sb="16" eb="19">
      <t>セイシャイン</t>
    </rPh>
    <rPh sb="20" eb="21">
      <t>シ</t>
    </rPh>
    <rPh sb="23" eb="25">
      <t>ジョセイ</t>
    </rPh>
    <rPh sb="25" eb="28">
      <t>ロウドウシャ</t>
    </rPh>
    <rPh sb="29" eb="31">
      <t>ワリアイ</t>
    </rPh>
    <phoneticPr fontId="2"/>
  </si>
  <si>
    <r>
      <t>　</t>
    </r>
    <r>
      <rPr>
        <u/>
        <sz val="11"/>
        <color theme="1"/>
        <rFont val="ＭＳ ゴシック"/>
        <family val="3"/>
        <charset val="128"/>
      </rPr>
      <t>①男女別の平均継続勤務年数</t>
    </r>
    <phoneticPr fontId="2"/>
  </si>
  <si>
    <t>ア～エ計</t>
    <rPh sb="3" eb="4">
      <t>ケイ</t>
    </rPh>
    <phoneticPr fontId="2"/>
  </si>
  <si>
    <t xml:space="preserve">
応募者数
b1</t>
    <rPh sb="1" eb="5">
      <t>オウボシャスウ</t>
    </rPh>
    <phoneticPr fontId="2"/>
  </si>
  <si>
    <t xml:space="preserve">
採用者数
b2</t>
    <rPh sb="1" eb="4">
      <t>サイヨウシャ</t>
    </rPh>
    <rPh sb="4" eb="5">
      <t>スウ</t>
    </rPh>
    <phoneticPr fontId="2"/>
  </si>
  <si>
    <t xml:space="preserve">
競争倍率
b1/b2</t>
    <rPh sb="1" eb="3">
      <t>キョウソウ</t>
    </rPh>
    <rPh sb="3" eb="5">
      <t>バイリツ</t>
    </rPh>
    <phoneticPr fontId="2"/>
  </si>
  <si>
    <t xml:space="preserve">
応募者数
a1</t>
    <rPh sb="1" eb="5">
      <t>オウボシャスウ</t>
    </rPh>
    <phoneticPr fontId="2"/>
  </si>
  <si>
    <t xml:space="preserve">
採用者数
a2</t>
    <rPh sb="1" eb="4">
      <t>サイヨウシャ</t>
    </rPh>
    <rPh sb="4" eb="5">
      <t>スウ</t>
    </rPh>
    <phoneticPr fontId="2"/>
  </si>
  <si>
    <t xml:space="preserve">
競争倍率
a1/a2</t>
    <rPh sb="1" eb="3">
      <t>キョウソウ</t>
    </rPh>
    <rPh sb="3" eb="5">
      <t>バイリツ</t>
    </rPh>
    <phoneticPr fontId="2"/>
  </si>
  <si>
    <t>女性
競争倍率
Ａ</t>
    <rPh sb="0" eb="2">
      <t>ジョセイ</t>
    </rPh>
    <rPh sb="3" eb="5">
      <t>キョウソウ</t>
    </rPh>
    <rPh sb="5" eb="7">
      <t>バイリツ</t>
    </rPh>
    <phoneticPr fontId="2"/>
  </si>
  <si>
    <t>男性
競争倍率
Ｂ</t>
    <rPh sb="0" eb="2">
      <t>ダンセイ</t>
    </rPh>
    <rPh sb="3" eb="5">
      <t>キョウソウ</t>
    </rPh>
    <rPh sb="5" eb="7">
      <t>バイリツ</t>
    </rPh>
    <phoneticPr fontId="2"/>
  </si>
  <si>
    <t>３事業年度ごとの平均競争倍率</t>
    <phoneticPr fontId="2"/>
  </si>
  <si>
    <t>製造業</t>
    <rPh sb="0" eb="3">
      <t>セイゾウギョウ</t>
    </rPh>
    <phoneticPr fontId="2"/>
  </si>
  <si>
    <t>産 業 分 類</t>
    <rPh sb="0" eb="1">
      <t>サン</t>
    </rPh>
    <rPh sb="2" eb="3">
      <t>ギョウ</t>
    </rPh>
    <rPh sb="4" eb="5">
      <t>ブン</t>
    </rPh>
    <rPh sb="6" eb="7">
      <t>タグイ</t>
    </rPh>
    <phoneticPr fontId="2"/>
  </si>
  <si>
    <t>※正社員に複数の雇用管理区分を設定していない場合は、この表への記載は不要です。</t>
    <rPh sb="1" eb="4">
      <t>セイシャイン</t>
    </rPh>
    <rPh sb="5" eb="7">
      <t>フクスウ</t>
    </rPh>
    <rPh sb="8" eb="10">
      <t>コヨウ</t>
    </rPh>
    <rPh sb="10" eb="12">
      <t>カンリ</t>
    </rPh>
    <rPh sb="12" eb="14">
      <t>クブン</t>
    </rPh>
    <rPh sb="15" eb="17">
      <t>セッテイ</t>
    </rPh>
    <rPh sb="22" eb="24">
      <t>バアイ</t>
    </rPh>
    <rPh sb="28" eb="29">
      <t>ヒョウ</t>
    </rPh>
    <rPh sb="31" eb="33">
      <t>キサイ</t>
    </rPh>
    <rPh sb="34" eb="36">
      <t>フヨウ</t>
    </rPh>
    <phoneticPr fontId="2"/>
  </si>
  <si>
    <t>※上の表によっては平均時間外労働等時間数を算出し難い場合は、次ページの上段の表により算出してください。</t>
    <rPh sb="1" eb="2">
      <t>ウエ</t>
    </rPh>
    <rPh sb="3" eb="4">
      <t>ヒョウ</t>
    </rPh>
    <rPh sb="9" eb="11">
      <t>ヘイキン</t>
    </rPh>
    <rPh sb="11" eb="14">
      <t>ジカンガイ</t>
    </rPh>
    <rPh sb="14" eb="17">
      <t>ロウドウトウ</t>
    </rPh>
    <rPh sb="17" eb="20">
      <t>ジカンスウ</t>
    </rPh>
    <rPh sb="21" eb="23">
      <t>サンシュツ</t>
    </rPh>
    <rPh sb="24" eb="25">
      <t>カタ</t>
    </rPh>
    <rPh sb="26" eb="28">
      <t>バアイ</t>
    </rPh>
    <rPh sb="30" eb="31">
      <t>ツギ</t>
    </rPh>
    <rPh sb="35" eb="37">
      <t>ジョウダン</t>
    </rPh>
    <rPh sb="38" eb="39">
      <t>ヒョウ</t>
    </rPh>
    <rPh sb="42" eb="44">
      <t>サンシュツ</t>
    </rPh>
    <phoneticPr fontId="2"/>
  </si>
  <si>
    <t>直近３事業年度</t>
    <rPh sb="0" eb="2">
      <t>チョッキン</t>
    </rPh>
    <rPh sb="3" eb="5">
      <t>ジギョウ</t>
    </rPh>
    <rPh sb="5" eb="7">
      <t>ネンド</t>
    </rPh>
    <phoneticPr fontId="2"/>
  </si>
  <si>
    <t>上記の直前の
２事業年度</t>
    <rPh sb="0" eb="2">
      <t>ジョウキ</t>
    </rPh>
    <phoneticPr fontId="2"/>
  </si>
  <si>
    <t>直近３
事業年度</t>
    <rPh sb="0" eb="2">
      <t>チョッキン</t>
    </rPh>
    <rPh sb="4" eb="6">
      <t>ジギョウ</t>
    </rPh>
    <rPh sb="6" eb="8">
      <t>ネンド</t>
    </rPh>
    <phoneticPr fontId="2"/>
  </si>
  <si>
    <t>10事業年度前
とその前後の
事業年度</t>
    <rPh sb="2" eb="4">
      <t>ジギョウ</t>
    </rPh>
    <rPh sb="4" eb="6">
      <t>ネンド</t>
    </rPh>
    <rPh sb="6" eb="7">
      <t>マエ</t>
    </rPh>
    <rPh sb="11" eb="13">
      <t>ゼンゴ</t>
    </rPh>
    <rPh sb="15" eb="17">
      <t>ジギョウ</t>
    </rPh>
    <rPh sb="17" eb="19">
      <t>ネンド</t>
    </rPh>
    <phoneticPr fontId="2"/>
  </si>
  <si>
    <t>※前ページの表では算出し難い場合に限り、この表で時間外労働等の平均時間数を算出してください。</t>
    <rPh sb="1" eb="2">
      <t>マエ</t>
    </rPh>
    <rPh sb="6" eb="7">
      <t>ヒョウ</t>
    </rPh>
    <rPh sb="9" eb="11">
      <t>サンシュツ</t>
    </rPh>
    <rPh sb="12" eb="13">
      <t>カタ</t>
    </rPh>
    <rPh sb="14" eb="16">
      <t>バアイ</t>
    </rPh>
    <rPh sb="17" eb="18">
      <t>カギ</t>
    </rPh>
    <rPh sb="22" eb="23">
      <t>ヒョウ</t>
    </rPh>
    <rPh sb="24" eb="27">
      <t>ジカンガイ</t>
    </rPh>
    <rPh sb="27" eb="29">
      <t>ロウドウ</t>
    </rPh>
    <rPh sb="29" eb="30">
      <t>トウ</t>
    </rPh>
    <rPh sb="31" eb="33">
      <t>ヘイキン</t>
    </rPh>
    <rPh sb="33" eb="36">
      <t>ジカンスウ</t>
    </rPh>
    <rPh sb="37" eb="39">
      <t>サンシュツ</t>
    </rPh>
    <phoneticPr fontId="2"/>
  </si>
  <si>
    <t>様式第２号</t>
    <rPh sb="0" eb="2">
      <t>ヨウシキ</t>
    </rPh>
    <rPh sb="2" eb="3">
      <t>ダイ</t>
    </rPh>
    <rPh sb="4" eb="5">
      <t>ゴウ</t>
    </rPh>
    <phoneticPr fontId="2"/>
  </si>
  <si>
    <t>所　　在　　地</t>
    <rPh sb="0" eb="1">
      <t>ショ</t>
    </rPh>
    <rPh sb="3" eb="4">
      <t>ザイ</t>
    </rPh>
    <rPh sb="6" eb="7">
      <t>チ</t>
    </rPh>
    <phoneticPr fontId="2"/>
  </si>
  <si>
    <t>記載日</t>
    <rPh sb="0" eb="2">
      <t>キサイ</t>
    </rPh>
    <rPh sb="2" eb="3">
      <t>ニチ</t>
    </rPh>
    <phoneticPr fontId="2"/>
  </si>
  <si>
    <t>直近の事業年度</t>
    <rPh sb="0" eb="2">
      <t>チョッキン</t>
    </rPh>
    <rPh sb="3" eb="5">
      <t>ジギョウ</t>
    </rPh>
    <rPh sb="5" eb="7">
      <t>ネンド</t>
    </rPh>
    <phoneticPr fontId="2"/>
  </si>
  <si>
    <t>～</t>
    <phoneticPr fontId="2"/>
  </si>
  <si>
    <t>製造業の中分類</t>
    <rPh sb="0" eb="3">
      <t>セイゾウギョウ</t>
    </rPh>
    <rPh sb="4" eb="7">
      <t>チュウブンルイ</t>
    </rPh>
    <phoneticPr fontId="2"/>
  </si>
  <si>
    <t>代表者</t>
    <rPh sb="0" eb="3">
      <t>ダイヒョウシャ</t>
    </rPh>
    <phoneticPr fontId="2"/>
  </si>
  <si>
    <t>氏名</t>
    <rPh sb="0" eb="2">
      <t>シメイ</t>
    </rPh>
    <phoneticPr fontId="2"/>
  </si>
  <si>
    <t>(1) 秋田県内に本社を有します。</t>
    <rPh sb="4" eb="6">
      <t>アキタ</t>
    </rPh>
    <rPh sb="6" eb="8">
      <t>ケンナイ</t>
    </rPh>
    <rPh sb="9" eb="11">
      <t>ホンシャ</t>
    </rPh>
    <rPh sb="12" eb="13">
      <t>ユウ</t>
    </rPh>
    <phoneticPr fontId="2"/>
  </si>
  <si>
    <t>常　時　雇　用
労　働　者　数</t>
    <phoneticPr fontId="2"/>
  </si>
  <si>
    <t>(2) 常時雇用労働者数は３００人以下です。</t>
    <rPh sb="4" eb="6">
      <t>ジョウジ</t>
    </rPh>
    <rPh sb="6" eb="12">
      <t>コヨウロウドウシャスウ</t>
    </rPh>
    <rPh sb="16" eb="17">
      <t>ニン</t>
    </rPh>
    <rPh sb="17" eb="19">
      <t>イカ</t>
    </rPh>
    <phoneticPr fontId="2"/>
  </si>
  <si>
    <t>(3) 過去３年間において、労働基準法、労働安全衛生法、女活法等の関係法令に重大な違反はありません。</t>
    <rPh sb="4" eb="6">
      <t>カコ</t>
    </rPh>
    <rPh sb="7" eb="9">
      <t>ネンカン</t>
    </rPh>
    <rPh sb="14" eb="16">
      <t>ロウドウ</t>
    </rPh>
    <rPh sb="16" eb="19">
      <t>キジュンホウ</t>
    </rPh>
    <rPh sb="20" eb="22">
      <t>ロウドウ</t>
    </rPh>
    <rPh sb="22" eb="24">
      <t>アンゼン</t>
    </rPh>
    <rPh sb="24" eb="27">
      <t>エイセイホウ</t>
    </rPh>
    <rPh sb="28" eb="30">
      <t>ジョカツ</t>
    </rPh>
    <rPh sb="30" eb="31">
      <t>ホウ</t>
    </rPh>
    <rPh sb="31" eb="32">
      <t>トウ</t>
    </rPh>
    <rPh sb="33" eb="35">
      <t>カンケイ</t>
    </rPh>
    <rPh sb="35" eb="37">
      <t>ホウレイ</t>
    </rPh>
    <rPh sb="38" eb="40">
      <t>ジュウダイ</t>
    </rPh>
    <rPh sb="41" eb="43">
      <t>イハン</t>
    </rPh>
    <phoneticPr fontId="2"/>
  </si>
  <si>
    <t>(4) 秋田県に納付（納入）すべき県税に滞納はありません。</t>
    <rPh sb="4" eb="6">
      <t>アキタ</t>
    </rPh>
    <rPh sb="6" eb="7">
      <t>ケン</t>
    </rPh>
    <rPh sb="8" eb="10">
      <t>ノウフ</t>
    </rPh>
    <rPh sb="11" eb="13">
      <t>ノウニュウ</t>
    </rPh>
    <rPh sb="17" eb="19">
      <t>ケンゼイ</t>
    </rPh>
    <rPh sb="20" eb="22">
      <t>タイノウ</t>
    </rPh>
    <phoneticPr fontId="2"/>
  </si>
  <si>
    <t>　②正社員の基幹的な雇用管理区分における女性労働者の割合が産業ごとの平均値（平均値が４割を超える場合
　　は４割）以上であること。</t>
    <phoneticPr fontId="2"/>
  </si>
  <si>
    <t>　①「女性労働者の平均継続勤務年数」÷「男性労働者の平均継続勤務年数」が雇用管理区分ごとにそれぞれ７割
　　以上であること。（期間の定めのない労働契約を締結している労働者に限る。）</t>
    <rPh sb="50" eb="51">
      <t>ワリ</t>
    </rPh>
    <rPh sb="55" eb="56">
      <t>ウエ</t>
    </rPh>
    <phoneticPr fontId="2"/>
  </si>
  <si>
    <t>　</t>
    <phoneticPr fontId="2"/>
  </si>
  <si>
    <t>　②「１０事業年度前及びその前後の事業年度に採用された女性労働者の継続雇用割合」÷「１０事業年度前及びそ
　　の前後に採用された男性労働者の継続雇用割合」が雇用管理区分ごとにそれぞれ８割以上であること。（新規学
　　卒採用者として雇い入れた労働者であって、期間の定めのない労働契約を締結している者に限る。）</t>
    <rPh sb="56" eb="58">
      <t>ゼンゴ</t>
    </rPh>
    <rPh sb="92" eb="93">
      <t>ワリ</t>
    </rPh>
    <rPh sb="102" eb="104">
      <t>シンキ</t>
    </rPh>
    <rPh sb="115" eb="118">
      <t>ヤトイイ</t>
    </rPh>
    <rPh sb="120" eb="123">
      <t>ロウドウシャ</t>
    </rPh>
    <phoneticPr fontId="2"/>
  </si>
  <si>
    <t>　[「各月の対象労働者の総労働時間数の合計」－「各月の法定労働時間の合計」※] ÷「対象労働者数」＜ ４５ 時間
　　※「各月の法定労働時間の合計」＝４０×各月の日数÷７×対象労働者数</t>
    <rPh sb="61" eb="63">
      <t>カクツキ</t>
    </rPh>
    <rPh sb="64" eb="66">
      <t>ホウテイ</t>
    </rPh>
    <rPh sb="66" eb="68">
      <t>ロウドウ</t>
    </rPh>
    <rPh sb="68" eb="70">
      <t>ジカン</t>
    </rPh>
    <rPh sb="71" eb="73">
      <t>ゴウケイ</t>
    </rPh>
    <phoneticPr fontId="2"/>
  </si>
  <si>
    <t>職名</t>
    <rPh sb="0" eb="2">
      <t>ショクメイ</t>
    </rPh>
    <phoneticPr fontId="2"/>
  </si>
  <si>
    <t>職名</t>
    <rPh sb="0" eb="1">
      <t>ショク</t>
    </rPh>
    <rPh sb="1" eb="2">
      <t>メイ</t>
    </rPh>
    <phoneticPr fontId="2"/>
  </si>
  <si>
    <t>E-mail</t>
    <phoneticPr fontId="2"/>
  </si>
  <si>
    <t>記載担当者</t>
    <rPh sb="0" eb="2">
      <t>キサイ</t>
    </rPh>
    <rPh sb="2" eb="5">
      <t>タントウシャ</t>
    </rPh>
    <phoneticPr fontId="2"/>
  </si>
  <si>
    <t>連　絡　先</t>
    <rPh sb="0" eb="1">
      <t>レン</t>
    </rPh>
    <rPh sb="2" eb="3">
      <t>ラク</t>
    </rPh>
    <rPh sb="4" eb="5">
      <t>サキ</t>
    </rPh>
    <phoneticPr fontId="2"/>
  </si>
  <si>
    <t>電話</t>
    <rPh sb="0" eb="2">
      <t>デンワ</t>
    </rPh>
    <phoneticPr fontId="2"/>
  </si>
  <si>
    <t>雇用管理区分の設定</t>
    <rPh sb="0" eb="2">
      <t>コヨウ</t>
    </rPh>
    <rPh sb="2" eb="4">
      <t>カンリ</t>
    </rPh>
    <rPh sb="4" eb="6">
      <t>クブン</t>
    </rPh>
    <rPh sb="7" eb="9">
      <t>セッテイ</t>
    </rPh>
    <phoneticPr fontId="2"/>
  </si>
  <si>
    <t>雇用期間</t>
    <rPh sb="0" eb="2">
      <t>コヨウ</t>
    </rPh>
    <rPh sb="2" eb="4">
      <t>キカン</t>
    </rPh>
    <phoneticPr fontId="2"/>
  </si>
  <si>
    <t>時間外労働</t>
    <rPh sb="0" eb="3">
      <t>ジカンガイ</t>
    </rPh>
    <rPh sb="3" eb="5">
      <t>ロウドウ</t>
    </rPh>
    <phoneticPr fontId="2"/>
  </si>
  <si>
    <t>勤務形態</t>
    <rPh sb="0" eb="2">
      <t>キンム</t>
    </rPh>
    <rPh sb="2" eb="4">
      <t>ケイタイ</t>
    </rPh>
    <phoneticPr fontId="2"/>
  </si>
  <si>
    <t>女性人数</t>
    <rPh sb="0" eb="2">
      <t>ジョセイ</t>
    </rPh>
    <rPh sb="2" eb="3">
      <t>ニン</t>
    </rPh>
    <rPh sb="3" eb="4">
      <t>スウ</t>
    </rPh>
    <phoneticPr fontId="2"/>
  </si>
  <si>
    <t>男性人数</t>
    <rPh sb="0" eb="2">
      <t>ダンセイ</t>
    </rPh>
    <rPh sb="2" eb="3">
      <t>ニン</t>
    </rPh>
    <rPh sb="3" eb="4">
      <t>スウ</t>
    </rPh>
    <phoneticPr fontId="2"/>
  </si>
  <si>
    <t>基幹</t>
    <rPh sb="0" eb="2">
      <t>キカン</t>
    </rPh>
    <phoneticPr fontId="2"/>
  </si>
  <si>
    <t>鉱業,採石業,砂利採取業</t>
    <rPh sb="0" eb="2">
      <t>コウギョウ</t>
    </rPh>
    <rPh sb="3" eb="6">
      <t>サイセキギョウ</t>
    </rPh>
    <rPh sb="7" eb="12">
      <t>ジャリサイシュギョウ</t>
    </rPh>
    <phoneticPr fontId="2"/>
  </si>
  <si>
    <t>建設業</t>
    <rPh sb="0" eb="3">
      <t>ケンセツギョウ</t>
    </rPh>
    <phoneticPr fontId="2"/>
  </si>
  <si>
    <t>電気･ガス･熱供給･水道業</t>
    <rPh sb="0" eb="2">
      <t>デンキ</t>
    </rPh>
    <rPh sb="6" eb="9">
      <t>ネツキョウキュウ</t>
    </rPh>
    <rPh sb="10" eb="13">
      <t>スイドウギョウ</t>
    </rPh>
    <phoneticPr fontId="2"/>
  </si>
  <si>
    <t>情報通信業</t>
    <rPh sb="0" eb="5">
      <t>ジョウホウツウシンギョウ</t>
    </rPh>
    <phoneticPr fontId="2"/>
  </si>
  <si>
    <t>運輸業･郵便業</t>
    <rPh sb="0" eb="3">
      <t>ウンユギョウ</t>
    </rPh>
    <rPh sb="4" eb="7">
      <t>ユウビンギョウ</t>
    </rPh>
    <phoneticPr fontId="2"/>
  </si>
  <si>
    <t>卸売業･小売業</t>
    <rPh sb="0" eb="3">
      <t>オロシウリギョウ</t>
    </rPh>
    <rPh sb="4" eb="7">
      <t>コウリギョウ</t>
    </rPh>
    <phoneticPr fontId="2"/>
  </si>
  <si>
    <t>金融業･保険業</t>
    <rPh sb="0" eb="3">
      <t>キンユウギョウ</t>
    </rPh>
    <rPh sb="4" eb="7">
      <t>ホケンギョウ</t>
    </rPh>
    <phoneticPr fontId="2"/>
  </si>
  <si>
    <t>不動産業･物品賃貸業</t>
    <rPh sb="0" eb="4">
      <t>フドウサンギョウ</t>
    </rPh>
    <rPh sb="5" eb="10">
      <t>ブッピンチンタイギョウ</t>
    </rPh>
    <phoneticPr fontId="2"/>
  </si>
  <si>
    <t>学術研究,専門･技術サービス業</t>
    <rPh sb="0" eb="4">
      <t>ガクジュツケンキュウ</t>
    </rPh>
    <rPh sb="5" eb="7">
      <t>センモン</t>
    </rPh>
    <rPh sb="8" eb="10">
      <t>ギジュツ</t>
    </rPh>
    <rPh sb="14" eb="15">
      <t>ギョウ</t>
    </rPh>
    <phoneticPr fontId="2"/>
  </si>
  <si>
    <t>宿泊業･飲食サービス業</t>
    <rPh sb="0" eb="3">
      <t>シュクハクギョウ</t>
    </rPh>
    <rPh sb="4" eb="6">
      <t>インショク</t>
    </rPh>
    <rPh sb="10" eb="11">
      <t>ギョウ</t>
    </rPh>
    <phoneticPr fontId="2"/>
  </si>
  <si>
    <t>生活関連サービス業･娯楽業</t>
    <rPh sb="0" eb="4">
      <t>セイカツカンレン</t>
    </rPh>
    <rPh sb="8" eb="9">
      <t>ギョウ</t>
    </rPh>
    <rPh sb="10" eb="13">
      <t>ゴラクギョウ</t>
    </rPh>
    <phoneticPr fontId="2"/>
  </si>
  <si>
    <t>教育,学習支援業</t>
    <rPh sb="0" eb="2">
      <t>キョウイク</t>
    </rPh>
    <rPh sb="3" eb="8">
      <t>ガクシュウシエンギョウ</t>
    </rPh>
    <phoneticPr fontId="2"/>
  </si>
  <si>
    <t>医療,福祉</t>
    <rPh sb="0" eb="2">
      <t>イリョウ</t>
    </rPh>
    <rPh sb="3" eb="5">
      <t>フクシ</t>
    </rPh>
    <phoneticPr fontId="2"/>
  </si>
  <si>
    <t>複合サービス業</t>
    <rPh sb="0" eb="2">
      <t>フクゴウ</t>
    </rPh>
    <rPh sb="6" eb="7">
      <t>ギョウ</t>
    </rPh>
    <phoneticPr fontId="2"/>
  </si>
  <si>
    <t>サービス業（その他）</t>
    <rPh sb="4" eb="5">
      <t>ギョウ</t>
    </rPh>
    <rPh sb="8" eb="9">
      <t>タ</t>
    </rPh>
    <phoneticPr fontId="2"/>
  </si>
  <si>
    <t>分類できない</t>
    <rPh sb="0" eb="2">
      <t>ブンルイ</t>
    </rPh>
    <phoneticPr fontId="2"/>
  </si>
  <si>
    <t>雇用管理区分の名称</t>
    <rPh sb="0" eb="2">
      <t>コヨウ</t>
    </rPh>
    <rPh sb="2" eb="4">
      <t>カンリ</t>
    </rPh>
    <rPh sb="4" eb="6">
      <t>クブン</t>
    </rPh>
    <rPh sb="7" eb="9">
      <t>メイショウ</t>
    </rPh>
    <phoneticPr fontId="2"/>
  </si>
  <si>
    <t>正
社
員</t>
    <rPh sb="0" eb="1">
      <t>タダシ</t>
    </rPh>
    <rPh sb="2" eb="3">
      <t>シャ</t>
    </rPh>
    <rPh sb="4" eb="5">
      <t>イン</t>
    </rPh>
    <phoneticPr fontId="2"/>
  </si>
  <si>
    <t>正
社
員
以
外</t>
    <rPh sb="0" eb="1">
      <t>タダシ</t>
    </rPh>
    <rPh sb="2" eb="3">
      <t>シャ</t>
    </rPh>
    <rPh sb="4" eb="5">
      <t>イン</t>
    </rPh>
    <rPh sb="6" eb="7">
      <t>イ</t>
    </rPh>
    <rPh sb="8" eb="9">
      <t>ガイ</t>
    </rPh>
    <phoneticPr fontId="2"/>
  </si>
  <si>
    <t>(5) 暴力団等の反社会的勢力に該当し、又は所属したことはなく、これらの者と関係を有していません。</t>
    <rPh sb="4" eb="7">
      <t>ボウリョクダン</t>
    </rPh>
    <rPh sb="7" eb="8">
      <t>トウ</t>
    </rPh>
    <rPh sb="9" eb="12">
      <t>ハンシャカイ</t>
    </rPh>
    <rPh sb="12" eb="13">
      <t>テキ</t>
    </rPh>
    <rPh sb="13" eb="15">
      <t>セイリョク</t>
    </rPh>
    <rPh sb="16" eb="18">
      <t>ガイトウ</t>
    </rPh>
    <rPh sb="20" eb="21">
      <t>マタ</t>
    </rPh>
    <rPh sb="22" eb="24">
      <t>ショゾク</t>
    </rPh>
    <rPh sb="36" eb="37">
      <t>モノ</t>
    </rPh>
    <rPh sb="38" eb="40">
      <t>カンケイ</t>
    </rPh>
    <rPh sb="41" eb="42">
      <t>ユウ</t>
    </rPh>
    <phoneticPr fontId="2"/>
  </si>
  <si>
    <t>労働者の採用について、次の(ⅰ)と(ⅱ)のいずれかに該当すること。</t>
    <phoneticPr fontId="2"/>
  </si>
  <si>
    <t>(ⅱ)　直近の事業年度において、次の①と②の両方に該当すること。
　　(正社員に雇用管理区分を設定していない場合は、①に該当すること。）</t>
    <phoneticPr fontId="2"/>
  </si>
  <si>
    <t>(ⅰ)　直近の事業年度における労働者の継続就業について、次の①と②のいずれかに該当すること。</t>
    <rPh sb="39" eb="41">
      <t>ガイトウ</t>
    </rPh>
    <phoneticPr fontId="2"/>
  </si>
  <si>
    <t>(ⅱ)　（(ⅰ)を算出することができない場合に限り適用）
　直近の事業年度において、正社員の女性労働者の平均継続勤務年数が産業ごとの平均値以上であること。</t>
    <rPh sb="23" eb="24">
      <t>カギ</t>
    </rPh>
    <rPh sb="25" eb="27">
      <t>テキヨウ</t>
    </rPh>
    <phoneticPr fontId="2"/>
  </si>
  <si>
    <r>
      <rPr>
        <u/>
        <sz val="11"/>
        <color theme="1"/>
        <rFont val="ＭＳ Ｐゴシック"/>
        <family val="3"/>
        <charset val="128"/>
      </rPr>
      <t>（ⅰ）　</t>
    </r>
    <r>
      <rPr>
        <u/>
        <sz val="11"/>
        <color theme="1"/>
        <rFont val="ＭＳ ゴシック"/>
        <family val="3"/>
        <charset val="128"/>
      </rPr>
      <t>直近３事業年度の男女別の採用における競争倍率</t>
    </r>
    <rPh sb="4" eb="6">
      <t>チョッキン</t>
    </rPh>
    <rPh sb="7" eb="9">
      <t>ジギョウ</t>
    </rPh>
    <rPh sb="9" eb="11">
      <t>ネンド</t>
    </rPh>
    <rPh sb="12" eb="15">
      <t>ダンジョベツ</t>
    </rPh>
    <rPh sb="16" eb="18">
      <t>サイヨウ</t>
    </rPh>
    <rPh sb="22" eb="24">
      <t>キョウソウ</t>
    </rPh>
    <rPh sb="24" eb="26">
      <t>バイリツ</t>
    </rPh>
    <phoneticPr fontId="2"/>
  </si>
  <si>
    <r>
      <rPr>
        <u/>
        <sz val="11"/>
        <color theme="1"/>
        <rFont val="ＭＳ Ｐゴシック"/>
        <family val="3"/>
        <charset val="128"/>
      </rPr>
      <t>(ⅱ)　</t>
    </r>
    <r>
      <rPr>
        <u/>
        <sz val="11"/>
        <color theme="1"/>
        <rFont val="ＭＳ ゴシック"/>
        <family val="3"/>
        <charset val="128"/>
      </rPr>
      <t>直近の事業年度における女性労働者の割合</t>
    </r>
    <rPh sb="2" eb="4">
      <t>チョッキン</t>
    </rPh>
    <rPh sb="5" eb="7">
      <t>ジギョウ</t>
    </rPh>
    <rPh sb="7" eb="9">
      <t>ネンド</t>
    </rPh>
    <rPh sb="13" eb="15">
      <t>ジョセイ</t>
    </rPh>
    <rPh sb="15" eb="18">
      <t>ロウドウシャ</t>
    </rPh>
    <rPh sb="19" eb="21">
      <t>ワリアイ</t>
    </rPh>
    <phoneticPr fontId="2"/>
  </si>
  <si>
    <r>
      <rPr>
        <u/>
        <sz val="11"/>
        <color theme="1"/>
        <rFont val="ＭＳ Ｐゴシック"/>
        <family val="3"/>
        <charset val="128"/>
      </rPr>
      <t>(ⅰ)　</t>
    </r>
    <r>
      <rPr>
        <u/>
        <sz val="11"/>
        <color theme="1"/>
        <rFont val="ＭＳ ゴシック"/>
        <family val="3"/>
        <charset val="128"/>
      </rPr>
      <t>直近の事業年度における継続就業の状況</t>
    </r>
    <rPh sb="1" eb="3">
      <t>チョッキン</t>
    </rPh>
    <rPh sb="4" eb="6">
      <t>ジギョウ</t>
    </rPh>
    <rPh sb="6" eb="8">
      <t>ネンド</t>
    </rPh>
    <rPh sb="12" eb="14">
      <t>ケイゾク</t>
    </rPh>
    <rPh sb="14" eb="16">
      <t>シュウギョウ</t>
    </rPh>
    <rPh sb="17" eb="19">
      <t>ジョウキョウ</t>
    </rPh>
    <phoneticPr fontId="2"/>
  </si>
  <si>
    <r>
      <rPr>
        <u/>
        <sz val="11"/>
        <color theme="1"/>
        <rFont val="ＭＳ Ｐゴシック"/>
        <family val="3"/>
        <charset val="128"/>
      </rPr>
      <t>(ⅱ)　</t>
    </r>
    <r>
      <rPr>
        <u/>
        <sz val="11"/>
        <color theme="1"/>
        <rFont val="ＭＳ ゴシック"/>
        <family val="3"/>
        <charset val="128"/>
      </rPr>
      <t>正社員の女性労働者の平均継続勤務年数</t>
    </r>
    <rPh sb="4" eb="7">
      <t>セイシャイン</t>
    </rPh>
    <rPh sb="8" eb="10">
      <t>ジョセイ</t>
    </rPh>
    <rPh sb="10" eb="13">
      <t>ロウドウシャ</t>
    </rPh>
    <rPh sb="14" eb="16">
      <t>ヘイキン</t>
    </rPh>
    <rPh sb="16" eb="18">
      <t>ケイゾク</t>
    </rPh>
    <rPh sb="18" eb="20">
      <t>キンム</t>
    </rPh>
    <rPh sb="20" eb="22">
      <t>ネンスウ</t>
    </rPh>
    <phoneticPr fontId="2"/>
  </si>
  <si>
    <t>労働者の管理職比率について、次の(ⅰ)と(ⅱ)のいずれかに該当すること。</t>
    <rPh sb="29" eb="31">
      <t>ガイトウ</t>
    </rPh>
    <phoneticPr fontId="2"/>
  </si>
  <si>
    <t>(ⅰ)　直近の事業年度における管理職に占める女性労働者の割合が産業ごとの平均値以上であること。</t>
    <phoneticPr fontId="2"/>
  </si>
  <si>
    <r>
      <rPr>
        <u/>
        <sz val="11"/>
        <color theme="1"/>
        <rFont val="ＭＳ Ｐゴシック"/>
        <family val="3"/>
        <charset val="128"/>
      </rPr>
      <t>(ⅰ)　</t>
    </r>
    <r>
      <rPr>
        <u/>
        <sz val="11"/>
        <color theme="1"/>
        <rFont val="ＭＳ ゴシック"/>
        <family val="3"/>
        <charset val="128"/>
      </rPr>
      <t>直近の事業年度における管理職に占める女性労働者の割合</t>
    </r>
    <rPh sb="2" eb="4">
      <t>チョッキン</t>
    </rPh>
    <rPh sb="5" eb="7">
      <t>ジギョウ</t>
    </rPh>
    <rPh sb="7" eb="9">
      <t>ネンド</t>
    </rPh>
    <rPh sb="14" eb="16">
      <t>カンリ</t>
    </rPh>
    <rPh sb="16" eb="17">
      <t>ショク</t>
    </rPh>
    <rPh sb="18" eb="19">
      <t>シ</t>
    </rPh>
    <rPh sb="21" eb="23">
      <t>ジョセイ</t>
    </rPh>
    <rPh sb="22" eb="25">
      <t>ロウドウシャ</t>
    </rPh>
    <rPh sb="26" eb="28">
      <t>ワリアイ</t>
    </rPh>
    <phoneticPr fontId="2"/>
  </si>
  <si>
    <r>
      <rPr>
        <u/>
        <sz val="11"/>
        <color theme="1"/>
        <rFont val="ＭＳ Ｐゴシック"/>
        <family val="3"/>
        <charset val="128"/>
      </rPr>
      <t>(ⅱ)　</t>
    </r>
    <r>
      <rPr>
        <u/>
        <sz val="11"/>
        <color theme="1"/>
        <rFont val="ＭＳ ゴシック"/>
        <family val="3"/>
        <charset val="128"/>
      </rPr>
      <t>直近の３事業年度における男女別の課長級より１つ下の職階から課長級に昇進した割合</t>
    </r>
    <rPh sb="2" eb="4">
      <t>チョッキン</t>
    </rPh>
    <rPh sb="6" eb="8">
      <t>ジギョウ</t>
    </rPh>
    <rPh sb="8" eb="10">
      <t>ネンド</t>
    </rPh>
    <rPh sb="14" eb="17">
      <t>ダンジョベツ</t>
    </rPh>
    <rPh sb="18" eb="21">
      <t>カチョウキュウ</t>
    </rPh>
    <rPh sb="23" eb="24">
      <t>1</t>
    </rPh>
    <rPh sb="25" eb="26">
      <t>シタ</t>
    </rPh>
    <rPh sb="27" eb="29">
      <t>ショッカイ</t>
    </rPh>
    <rPh sb="31" eb="34">
      <t>カチョウキュウ</t>
    </rPh>
    <rPh sb="35" eb="37">
      <t>ショウシン</t>
    </rPh>
    <rPh sb="39" eb="41">
      <t>ワリアイ</t>
    </rPh>
    <phoneticPr fontId="2"/>
  </si>
  <si>
    <r>
      <t>上記</t>
    </r>
    <r>
      <rPr>
        <sz val="9"/>
        <color theme="1"/>
        <rFont val="ＭＳ Ｐゴシック"/>
        <family val="3"/>
        <charset val="128"/>
      </rPr>
      <t>(ⅰ)</t>
    </r>
    <r>
      <rPr>
        <sz val="9"/>
        <color theme="1"/>
        <rFont val="ＭＳ ゴシック"/>
        <family val="3"/>
        <charset val="128"/>
      </rPr>
      <t>の直前の２事業年度</t>
    </r>
    <rPh sb="0" eb="2">
      <t>ジョウキ</t>
    </rPh>
    <rPh sb="6" eb="8">
      <t>チョクゼン</t>
    </rPh>
    <rPh sb="10" eb="12">
      <t>ジギョウ</t>
    </rPh>
    <rPh sb="12" eb="14">
      <t>ネンド</t>
    </rPh>
    <phoneticPr fontId="2"/>
  </si>
  <si>
    <t>直近３事業年度において、次の(ⅰ)～(ⅳ)のうち１項目以上の実績を有すること。</t>
    <rPh sb="12" eb="13">
      <t>ツギ</t>
    </rPh>
    <rPh sb="25" eb="27">
      <t>コウモク</t>
    </rPh>
    <phoneticPr fontId="2"/>
  </si>
  <si>
    <t>　(ⅰ)　女性の非正社員から正社員への転換（派遣労働者の雇入れを含む。）</t>
    <phoneticPr fontId="2"/>
  </si>
  <si>
    <t>　(ⅱ)　女性労働者のキャリアアップに資する雇用管理区分間の転換</t>
    <phoneticPr fontId="2"/>
  </si>
  <si>
    <t>　(ⅲ)　過去に在籍した女性の正社員としての再雇用（定年後の再雇用を除く。）</t>
    <rPh sb="26" eb="29">
      <t>テイネンゴ</t>
    </rPh>
    <rPh sb="30" eb="33">
      <t>サイコヨウ</t>
    </rPh>
    <rPh sb="34" eb="35">
      <t>ノゾ</t>
    </rPh>
    <phoneticPr fontId="2"/>
  </si>
  <si>
    <t>　(ⅳ)　おおむね３０歳以上の女性の正社員としての採用</t>
    <phoneticPr fontId="2"/>
  </si>
  <si>
    <r>
      <rPr>
        <sz val="9"/>
        <color theme="1"/>
        <rFont val="ＭＳ Ｐゴシック"/>
        <family val="3"/>
        <charset val="128"/>
      </rPr>
      <t>(ⅱ)　</t>
    </r>
    <r>
      <rPr>
        <sz val="9"/>
        <color theme="1"/>
        <rFont val="ＭＳ ゴシック"/>
        <family val="3"/>
        <charset val="128"/>
      </rPr>
      <t>キャリアアップに資する雇用管理区分間の転換</t>
    </r>
    <rPh sb="13" eb="14">
      <t>シ</t>
    </rPh>
    <rPh sb="16" eb="18">
      <t>コヨウ</t>
    </rPh>
    <rPh sb="18" eb="20">
      <t>カンリ</t>
    </rPh>
    <rPh sb="20" eb="22">
      <t>クブン</t>
    </rPh>
    <rPh sb="22" eb="23">
      <t>アイダテンカン</t>
    </rPh>
    <phoneticPr fontId="2"/>
  </si>
  <si>
    <r>
      <rPr>
        <sz val="9"/>
        <color theme="1"/>
        <rFont val="ＭＳ Ｐゴシック"/>
        <family val="3"/>
        <charset val="128"/>
      </rPr>
      <t>(ⅲ)　</t>
    </r>
    <r>
      <rPr>
        <sz val="9"/>
        <color theme="1"/>
        <rFont val="ＭＳ ゴシック"/>
        <family val="3"/>
        <charset val="128"/>
      </rPr>
      <t>過去に在職した女性の正社員としての再雇用</t>
    </r>
    <rPh sb="4" eb="6">
      <t>カコ</t>
    </rPh>
    <rPh sb="7" eb="9">
      <t>ザイショク</t>
    </rPh>
    <rPh sb="11" eb="13">
      <t>ジョセイ</t>
    </rPh>
    <rPh sb="14" eb="17">
      <t>セイシャイン</t>
    </rPh>
    <rPh sb="21" eb="24">
      <t>サイコヨウ</t>
    </rPh>
    <phoneticPr fontId="2"/>
  </si>
  <si>
    <r>
      <rPr>
        <sz val="9"/>
        <color theme="1"/>
        <rFont val="ＭＳ Ｐゴシック"/>
        <family val="3"/>
        <charset val="128"/>
      </rPr>
      <t>(ⅳ)　</t>
    </r>
    <r>
      <rPr>
        <sz val="9"/>
        <color theme="1"/>
        <rFont val="ＭＳ ゴシック"/>
        <family val="3"/>
        <charset val="128"/>
      </rPr>
      <t>おおむね30歳以上の女性の正社員としての採用</t>
    </r>
    <rPh sb="10" eb="11">
      <t>サイ</t>
    </rPh>
    <rPh sb="11" eb="13">
      <t>イジョウ</t>
    </rPh>
    <rPh sb="14" eb="16">
      <t>ジョセイ</t>
    </rPh>
    <rPh sb="17" eb="20">
      <t>セイシャイン</t>
    </rPh>
    <rPh sb="24" eb="26">
      <t>サイヨウ</t>
    </rPh>
    <phoneticPr fontId="2"/>
  </si>
  <si>
    <t>(ⅱ)　直近３事業年度の平均した１つ下位の職階から課長級に昇進した女性労働者の割合」÷「直近３事業年度の平
　均した１つ下位の職階から課長級に昇進した男性労働者の割合」が８割以上であること。</t>
    <rPh sb="25" eb="28">
      <t>カチョウキュウ</t>
    </rPh>
    <rPh sb="55" eb="56">
      <t>キン</t>
    </rPh>
    <rPh sb="86" eb="87">
      <t>ワリ</t>
    </rPh>
    <phoneticPr fontId="2"/>
  </si>
  <si>
    <t>(ⅰ)　直近３事業年度の平均した「採用における女性の競争倍率×０.８」が、直近３事業年度の平均した　「採用にお
　ける男性の競争倍率」よりも雇用管理区分ごとにそれぞれ低いこと。（期間の定めのない労働契約を締結すること
　を目的とするものに限る。）</t>
    <phoneticPr fontId="2"/>
  </si>
  <si>
    <t>えるぼし認定基準⑴　（省令第８条第１項第１号イ⑴）</t>
    <rPh sb="4" eb="6">
      <t>ニンテイ</t>
    </rPh>
    <rPh sb="6" eb="8">
      <t>キジュン</t>
    </rPh>
    <rPh sb="11" eb="13">
      <t>ショウレイ</t>
    </rPh>
    <rPh sb="13" eb="14">
      <t>ダイ</t>
    </rPh>
    <rPh sb="15" eb="16">
      <t>ジョウ</t>
    </rPh>
    <rPh sb="16" eb="17">
      <t>ダイ</t>
    </rPh>
    <rPh sb="18" eb="19">
      <t>コウ</t>
    </rPh>
    <rPh sb="19" eb="20">
      <t>ダイ</t>
    </rPh>
    <rPh sb="21" eb="22">
      <t>ゴウ</t>
    </rPh>
    <phoneticPr fontId="2"/>
  </si>
  <si>
    <t>えるぼし認定基準⑵　（省令第８条第１項第１号イ⑵）</t>
    <rPh sb="4" eb="6">
      <t>ニンテイ</t>
    </rPh>
    <rPh sb="6" eb="8">
      <t>キジュン</t>
    </rPh>
    <rPh sb="11" eb="13">
      <t>ショウレイ</t>
    </rPh>
    <rPh sb="13" eb="14">
      <t>ダイ</t>
    </rPh>
    <rPh sb="15" eb="16">
      <t>ジョウ</t>
    </rPh>
    <rPh sb="16" eb="17">
      <t>ダイ</t>
    </rPh>
    <rPh sb="18" eb="19">
      <t>コウ</t>
    </rPh>
    <rPh sb="19" eb="20">
      <t>ダイ</t>
    </rPh>
    <rPh sb="21" eb="22">
      <t>ゴウ</t>
    </rPh>
    <phoneticPr fontId="2"/>
  </si>
  <si>
    <t>えるぼし認定基準⑶　（省令第８条第１項第１号イ⑶）</t>
    <rPh sb="4" eb="6">
      <t>ニンテイ</t>
    </rPh>
    <rPh sb="6" eb="8">
      <t>キジュン</t>
    </rPh>
    <rPh sb="11" eb="13">
      <t>ショウレイ</t>
    </rPh>
    <rPh sb="13" eb="14">
      <t>ダイ</t>
    </rPh>
    <rPh sb="15" eb="16">
      <t>ジョウ</t>
    </rPh>
    <rPh sb="16" eb="17">
      <t>ダイ</t>
    </rPh>
    <rPh sb="18" eb="19">
      <t>コウ</t>
    </rPh>
    <rPh sb="19" eb="20">
      <t>ダイ</t>
    </rPh>
    <rPh sb="21" eb="22">
      <t>ゴウ</t>
    </rPh>
    <phoneticPr fontId="2"/>
  </si>
  <si>
    <t>えるぼし認定基準⑷　（省令第８条第１項第１号イ⑷）</t>
    <rPh sb="4" eb="6">
      <t>ニンテイ</t>
    </rPh>
    <rPh sb="6" eb="8">
      <t>キジュン</t>
    </rPh>
    <rPh sb="11" eb="13">
      <t>ショウレイ</t>
    </rPh>
    <rPh sb="13" eb="14">
      <t>ダイ</t>
    </rPh>
    <rPh sb="15" eb="16">
      <t>ジョウ</t>
    </rPh>
    <rPh sb="16" eb="17">
      <t>ダイ</t>
    </rPh>
    <rPh sb="18" eb="19">
      <t>コウ</t>
    </rPh>
    <rPh sb="19" eb="20">
      <t>ダイ</t>
    </rPh>
    <rPh sb="21" eb="22">
      <t>ゴウ</t>
    </rPh>
    <phoneticPr fontId="2"/>
  </si>
  <si>
    <t>えるぼし認定基準⑸　（省令第８条第１項第１号イ⑸）</t>
    <rPh sb="4" eb="6">
      <t>ニンテイ</t>
    </rPh>
    <rPh sb="6" eb="8">
      <t>キジュン</t>
    </rPh>
    <rPh sb="11" eb="13">
      <t>ショウレイ</t>
    </rPh>
    <rPh sb="13" eb="14">
      <t>ダイ</t>
    </rPh>
    <rPh sb="15" eb="16">
      <t>ジョウ</t>
    </rPh>
    <rPh sb="16" eb="17">
      <t>ダイ</t>
    </rPh>
    <rPh sb="18" eb="19">
      <t>コウ</t>
    </rPh>
    <rPh sb="19" eb="20">
      <t>ダイ</t>
    </rPh>
    <rPh sb="21" eb="22">
      <t>ゴウ</t>
    </rPh>
    <phoneticPr fontId="2"/>
  </si>
  <si>
    <t>えるぼしチャレンジ企業認定要件確認調書</t>
    <rPh sb="17" eb="19">
      <t>チョウショ</t>
    </rPh>
    <phoneticPr fontId="2"/>
  </si>
  <si>
    <t>①の直前の
各事業年度</t>
    <rPh sb="2" eb="4">
      <t>チョクゼン</t>
    </rPh>
    <rPh sb="3" eb="4">
      <t>マエ</t>
    </rPh>
    <rPh sb="6" eb="7">
      <t>カク</t>
    </rPh>
    <rPh sb="7" eb="9">
      <t>ジギョウ</t>
    </rPh>
    <rPh sb="9" eb="11">
      <t>ネンド</t>
    </rPh>
    <phoneticPr fontId="2"/>
  </si>
  <si>
    <t>基準達成状況（１）【採用】</t>
    <rPh sb="0" eb="2">
      <t>キジュン</t>
    </rPh>
    <rPh sb="2" eb="4">
      <t>タッセイ</t>
    </rPh>
    <rPh sb="4" eb="6">
      <t>ジョウキョウ</t>
    </rPh>
    <rPh sb="10" eb="12">
      <t>サイヨウ</t>
    </rPh>
    <phoneticPr fontId="2"/>
  </si>
  <si>
    <t>基準達成状況（１）続き</t>
    <rPh sb="0" eb="2">
      <t>キジュン</t>
    </rPh>
    <rPh sb="2" eb="4">
      <t>タッセイ</t>
    </rPh>
    <rPh sb="4" eb="6">
      <t>ジョウキョウ</t>
    </rPh>
    <rPh sb="9" eb="10">
      <t>ツヅ</t>
    </rPh>
    <phoneticPr fontId="2"/>
  </si>
  <si>
    <t>基準達成状況（２）【継続就業】</t>
    <rPh sb="0" eb="2">
      <t>キジュン</t>
    </rPh>
    <rPh sb="2" eb="4">
      <t>タッセイ</t>
    </rPh>
    <rPh sb="4" eb="6">
      <t>ジョウキョウ</t>
    </rPh>
    <rPh sb="10" eb="12">
      <t>ケイゾク</t>
    </rPh>
    <rPh sb="12" eb="14">
      <t>シュウギョウ</t>
    </rPh>
    <phoneticPr fontId="2"/>
  </si>
  <si>
    <t>基準達成状況（２）続き</t>
    <rPh sb="0" eb="6">
      <t>キジュンタッセイジョウキョウ</t>
    </rPh>
    <rPh sb="9" eb="10">
      <t>ツヅ</t>
    </rPh>
    <phoneticPr fontId="2"/>
  </si>
  <si>
    <t>基準達成状況（３）【労働時間等の働き方】</t>
    <rPh sb="0" eb="6">
      <t>キジュンタッセイジョウキョウ</t>
    </rPh>
    <rPh sb="10" eb="12">
      <t>ロウドウ</t>
    </rPh>
    <rPh sb="12" eb="14">
      <t>ジカン</t>
    </rPh>
    <rPh sb="14" eb="15">
      <t>トウ</t>
    </rPh>
    <rPh sb="16" eb="17">
      <t>ハタラ</t>
    </rPh>
    <rPh sb="18" eb="19">
      <t>カタ</t>
    </rPh>
    <phoneticPr fontId="2"/>
  </si>
  <si>
    <t>基準達成状況（３）続き</t>
    <rPh sb="0" eb="6">
      <t>キジュンタッセイジョウキョウ</t>
    </rPh>
    <rPh sb="9" eb="10">
      <t>ツヅ</t>
    </rPh>
    <phoneticPr fontId="2"/>
  </si>
  <si>
    <t>基準達成状況（４）【管理職比率】</t>
    <rPh sb="0" eb="6">
      <t>キジュンタッセイジョウキョウ</t>
    </rPh>
    <rPh sb="10" eb="13">
      <t>カンリショク</t>
    </rPh>
    <rPh sb="13" eb="15">
      <t>ヒリツ</t>
    </rPh>
    <phoneticPr fontId="2"/>
  </si>
  <si>
    <t>青色の欄は、原則として全て記載してください。</t>
    <rPh sb="0" eb="2">
      <t>アオイロ</t>
    </rPh>
    <rPh sb="3" eb="4">
      <t>ラン</t>
    </rPh>
    <rPh sb="6" eb="8">
      <t>ゲンソク</t>
    </rPh>
    <rPh sb="11" eb="12">
      <t>スベ</t>
    </rPh>
    <phoneticPr fontId="2"/>
  </si>
  <si>
    <t>橙色の欄は、指示に従って記載してください。</t>
    <phoneticPr fontId="2"/>
  </si>
  <si>
    <t>②の直前の
各事業年度</t>
    <rPh sb="2" eb="4">
      <t>チョクゼン</t>
    </rPh>
    <rPh sb="3" eb="4">
      <t>マエ</t>
    </rPh>
    <rPh sb="6" eb="7">
      <t>カク</t>
    </rPh>
    <rPh sb="7" eb="9">
      <t>ジギョウ</t>
    </rPh>
    <rPh sb="9" eb="11">
      <t>ネンド</t>
    </rPh>
    <phoneticPr fontId="2"/>
  </si>
  <si>
    <t>①の直前の
各事業年度</t>
    <rPh sb="6" eb="7">
      <t>カク</t>
    </rPh>
    <phoneticPr fontId="2"/>
  </si>
  <si>
    <t>女性の平均
継続勤務年数
Ａ</t>
    <rPh sb="0" eb="2">
      <t>ジョセイ</t>
    </rPh>
    <rPh sb="3" eb="5">
      <t>ヘイキン</t>
    </rPh>
    <rPh sb="6" eb="8">
      <t>ケイゾク</t>
    </rPh>
    <rPh sb="8" eb="10">
      <t>キンム</t>
    </rPh>
    <rPh sb="10" eb="11">
      <t>ネン</t>
    </rPh>
    <rPh sb="11" eb="12">
      <t>スウ</t>
    </rPh>
    <phoneticPr fontId="2"/>
  </si>
  <si>
    <t>男性の平均
継続勤務年数
Ｂ</t>
    <rPh sb="0" eb="2">
      <t>ダンセイ</t>
    </rPh>
    <rPh sb="3" eb="5">
      <t>ヘイキン</t>
    </rPh>
    <rPh sb="6" eb="8">
      <t>ケイゾク</t>
    </rPh>
    <rPh sb="8" eb="10">
      <t>キンム</t>
    </rPh>
    <rPh sb="10" eb="11">
      <t>ネン</t>
    </rPh>
    <rPh sb="11" eb="12">
      <t>スウ</t>
    </rPh>
    <phoneticPr fontId="2"/>
  </si>
  <si>
    <t>Ａ/Ｂ</t>
    <phoneticPr fontId="2"/>
  </si>
  <si>
    <t>３事業年度ごとのＣの平均</t>
    <rPh sb="1" eb="3">
      <t>ジギョウ</t>
    </rPh>
    <rPh sb="3" eb="5">
      <t>ネンド</t>
    </rPh>
    <rPh sb="10" eb="12">
      <t>ヘイキン</t>
    </rPh>
    <phoneticPr fontId="2"/>
  </si>
  <si>
    <t>（Ａ/Ｂ）
Ｃ</t>
    <phoneticPr fontId="2"/>
  </si>
  <si>
    <t>ア</t>
    <phoneticPr fontId="2"/>
  </si>
  <si>
    <t>イ</t>
    <phoneticPr fontId="2"/>
  </si>
  <si>
    <t>ウ</t>
    <phoneticPr fontId="2"/>
  </si>
  <si>
    <t>エ</t>
    <phoneticPr fontId="2"/>
  </si>
  <si>
    <t>オ</t>
    <phoneticPr fontId="2"/>
  </si>
  <si>
    <t>判定
Ｃ≧0.8</t>
    <phoneticPr fontId="2"/>
  </si>
  <si>
    <t>女性/男性の比
（Ａ/Ｂ）
Ｃ</t>
    <rPh sb="0" eb="2">
      <t>ジョセイ</t>
    </rPh>
    <rPh sb="3" eb="5">
      <t>ダンセイ</t>
    </rPh>
    <rPh sb="6" eb="7">
      <t>ヒ</t>
    </rPh>
    <phoneticPr fontId="2"/>
  </si>
  <si>
    <t>※上の表で判定が「非該当」の場は、次の表にも記載してください。</t>
    <rPh sb="1" eb="2">
      <t>ウエ</t>
    </rPh>
    <rPh sb="3" eb="4">
      <t>ヒョウ</t>
    </rPh>
    <rPh sb="5" eb="7">
      <t>ハンテイ</t>
    </rPh>
    <rPh sb="9" eb="10">
      <t>ヒ</t>
    </rPh>
    <rPh sb="10" eb="12">
      <t>ガイトウ</t>
    </rPh>
    <rPh sb="14" eb="15">
      <t>バ</t>
    </rPh>
    <rPh sb="17" eb="18">
      <t>ツギ</t>
    </rPh>
    <rPh sb="19" eb="20">
      <t>ヒョウ</t>
    </rPh>
    <rPh sb="22" eb="24">
      <t>キサイ</t>
    </rPh>
    <phoneticPr fontId="2"/>
  </si>
  <si>
    <t>Ｃ・Ｂ
の比較
Ｚ</t>
    <rPh sb="5" eb="7">
      <t>ヒカク</t>
    </rPh>
    <phoneticPr fontId="2"/>
  </si>
  <si>
    <t>Ｃの
水準
Ｚ</t>
    <rPh sb="3" eb="5">
      <t>スイジュン</t>
    </rPh>
    <phoneticPr fontId="2"/>
  </si>
  <si>
    <t>うち★の10事業年度後で雇用されている者</t>
    <phoneticPr fontId="2"/>
  </si>
  <si>
    <t>継続雇用割合　Ａ</t>
    <rPh sb="0" eb="2">
      <t>ケイゾク</t>
    </rPh>
    <rPh sb="2" eb="4">
      <t>コヨウ</t>
    </rPh>
    <rPh sb="4" eb="6">
      <t>ワリアイ</t>
    </rPh>
    <phoneticPr fontId="2"/>
  </si>
  <si>
    <t>継続雇用割合　Ｂ</t>
    <rPh sb="0" eb="2">
      <t>ケイゾク</t>
    </rPh>
    <rPh sb="2" eb="4">
      <t>コヨウ</t>
    </rPh>
    <rPh sb="4" eb="6">
      <t>ワリアイ</t>
    </rPh>
    <phoneticPr fontId="2"/>
  </si>
  <si>
    <t>継続雇用割合
Ａ</t>
    <rPh sb="0" eb="2">
      <t>ケイゾク</t>
    </rPh>
    <rPh sb="2" eb="4">
      <t>コヨウ</t>
    </rPh>
    <rPh sb="4" eb="6">
      <t>ワリアイ</t>
    </rPh>
    <phoneticPr fontId="2"/>
  </si>
  <si>
    <t>継続雇用割合
Ｂ</t>
    <rPh sb="0" eb="2">
      <t>ケイゾク</t>
    </rPh>
    <rPh sb="2" eb="4">
      <t>コヨウ</t>
    </rPh>
    <rPh sb="4" eb="6">
      <t>ワリアイ</t>
    </rPh>
    <phoneticPr fontId="2"/>
  </si>
  <si>
    <r>
      <t>上記</t>
    </r>
    <r>
      <rPr>
        <sz val="9"/>
        <color theme="1"/>
        <rFont val="ＭＳ Ｐゴシック"/>
        <family val="3"/>
        <charset val="128"/>
      </rPr>
      <t>(ⅱ)</t>
    </r>
    <r>
      <rPr>
        <sz val="9"/>
        <color theme="1"/>
        <rFont val="ＭＳ ゴシック"/>
        <family val="3"/>
        <charset val="128"/>
      </rPr>
      <t>の直前の
各事業年度</t>
    </r>
    <rPh sb="0" eb="2">
      <t>ジョウキ</t>
    </rPh>
    <rPh sb="10" eb="11">
      <t>カク</t>
    </rPh>
    <phoneticPr fontId="2"/>
  </si>
  <si>
    <t>正社員の女性労働者の
平均継続勤務年数　Ａ</t>
    <rPh sb="0" eb="3">
      <t>セイシャイン</t>
    </rPh>
    <rPh sb="4" eb="6">
      <t>ジョセイ</t>
    </rPh>
    <rPh sb="6" eb="9">
      <t>ロウドウシャ</t>
    </rPh>
    <rPh sb="11" eb="13">
      <t>ヘイキン</t>
    </rPh>
    <rPh sb="13" eb="15">
      <t>ケイゾク</t>
    </rPh>
    <rPh sb="15" eb="17">
      <t>キンム</t>
    </rPh>
    <rPh sb="17" eb="19">
      <t>ネンスウ</t>
    </rPh>
    <phoneticPr fontId="2"/>
  </si>
  <si>
    <t>３事業年度ごとのＡの平均</t>
    <rPh sb="1" eb="3">
      <t>ジギョウ</t>
    </rPh>
    <rPh sb="3" eb="5">
      <t>ネンド</t>
    </rPh>
    <rPh sb="10" eb="12">
      <t>ヘイキン</t>
    </rPh>
    <phoneticPr fontId="2"/>
  </si>
  <si>
    <t>判定：Ａ（月の時間外労働等時間数）が全ての雇用管理区分において「全月Ａ＜45」</t>
    <rPh sb="0" eb="2">
      <t>ハンテイ</t>
    </rPh>
    <rPh sb="5" eb="6">
      <t>ツキ</t>
    </rPh>
    <rPh sb="7" eb="10">
      <t>ジカンガイ</t>
    </rPh>
    <rPh sb="10" eb="12">
      <t>ロウドウ</t>
    </rPh>
    <rPh sb="12" eb="13">
      <t>トウ</t>
    </rPh>
    <rPh sb="13" eb="16">
      <t>ジカンスウ</t>
    </rPh>
    <rPh sb="18" eb="19">
      <t>スベ</t>
    </rPh>
    <rPh sb="21" eb="23">
      <t>コヨウ</t>
    </rPh>
    <rPh sb="23" eb="25">
      <t>カンリ</t>
    </rPh>
    <rPh sb="25" eb="27">
      <t>クブン</t>
    </rPh>
    <rPh sb="32" eb="33">
      <t>ゼン</t>
    </rPh>
    <rPh sb="33" eb="34">
      <t>ツキ</t>
    </rPh>
    <phoneticPr fontId="2"/>
  </si>
  <si>
    <t>判定：A'（月の時間外労働等時間数）が全ての雇用管理区分において「全月A'＜45」</t>
    <rPh sb="0" eb="2">
      <t>ハンテイ</t>
    </rPh>
    <rPh sb="6" eb="7">
      <t>ツキ</t>
    </rPh>
    <rPh sb="8" eb="11">
      <t>ジカンガイ</t>
    </rPh>
    <rPh sb="11" eb="13">
      <t>ロウドウ</t>
    </rPh>
    <rPh sb="13" eb="14">
      <t>トウ</t>
    </rPh>
    <rPh sb="14" eb="17">
      <t>ジカンスウ</t>
    </rPh>
    <rPh sb="19" eb="20">
      <t>スベ</t>
    </rPh>
    <rPh sb="22" eb="24">
      <t>コヨウ</t>
    </rPh>
    <rPh sb="24" eb="26">
      <t>カンリ</t>
    </rPh>
    <rPh sb="26" eb="28">
      <t>クブン</t>
    </rPh>
    <rPh sb="33" eb="34">
      <t>ゼン</t>
    </rPh>
    <rPh sb="34" eb="35">
      <t>ツキ</t>
    </rPh>
    <phoneticPr fontId="2"/>
  </si>
  <si>
    <t>平均時間外労働等
時間数が45時間
以上の月数　Ｂ</t>
    <rPh sb="15" eb="17">
      <t>ジカン</t>
    </rPh>
    <rPh sb="18" eb="20">
      <t>イジョウ</t>
    </rPh>
    <phoneticPr fontId="2"/>
  </si>
  <si>
    <t>１人・１月当たり
平均時間外労働
時間数　Ｃ</t>
    <phoneticPr fontId="2"/>
  </si>
  <si>
    <t>３事業年度ごとのＢ及びＣの平均</t>
    <rPh sb="1" eb="3">
      <t>ジギョウ</t>
    </rPh>
    <rPh sb="3" eb="5">
      <t>ネンド</t>
    </rPh>
    <rPh sb="9" eb="10">
      <t>オヨ</t>
    </rPh>
    <rPh sb="13" eb="15">
      <t>ヘイキン</t>
    </rPh>
    <phoneticPr fontId="2"/>
  </si>
  <si>
    <t>1～3年前
事業年度</t>
    <rPh sb="3" eb="5">
      <t>ネンマエ</t>
    </rPh>
    <rPh sb="4" eb="5">
      <t>マエ</t>
    </rPh>
    <rPh sb="6" eb="8">
      <t>ジギョウ</t>
    </rPh>
    <rPh sb="8" eb="10">
      <t>ネンド</t>
    </rPh>
    <phoneticPr fontId="2"/>
  </si>
  <si>
    <t>判定：Ｚ（Ｃ・Ｂの比較）が全ての雇用管理区分において「Ｃ＜Ｂ」</t>
    <rPh sb="0" eb="2">
      <t>ハンテイ</t>
    </rPh>
    <rPh sb="9" eb="11">
      <t>ヒカク</t>
    </rPh>
    <rPh sb="13" eb="14">
      <t>スベ</t>
    </rPh>
    <rPh sb="16" eb="18">
      <t>コヨウ</t>
    </rPh>
    <rPh sb="18" eb="20">
      <t>カンリ</t>
    </rPh>
    <rPh sb="20" eb="22">
      <t>クブン</t>
    </rPh>
    <phoneticPr fontId="2"/>
  </si>
  <si>
    <t>判定：Ｚ（Ｃの水準）が全ての雇用管理区分において「Ｃ≧0.7」</t>
    <rPh sb="0" eb="2">
      <t>ハンテイ</t>
    </rPh>
    <rPh sb="7" eb="9">
      <t>スイジュン</t>
    </rPh>
    <rPh sb="11" eb="12">
      <t>スベ</t>
    </rPh>
    <rPh sb="14" eb="16">
      <t>コヨウ</t>
    </rPh>
    <rPh sb="16" eb="18">
      <t>カンリ</t>
    </rPh>
    <rPh sb="18" eb="20">
      <t>クブン</t>
    </rPh>
    <phoneticPr fontId="2"/>
  </si>
  <si>
    <t>判定：Ｚ（Ｃの水準）が全ての雇用管理区分において「Ｃ≧0.8」</t>
    <rPh sb="0" eb="2">
      <t>ハンテイ</t>
    </rPh>
    <rPh sb="7" eb="9">
      <t>スイジュン</t>
    </rPh>
    <rPh sb="11" eb="12">
      <t>スベ</t>
    </rPh>
    <rPh sb="14" eb="16">
      <t>コヨウ</t>
    </rPh>
    <rPh sb="16" eb="18">
      <t>カンリ</t>
    </rPh>
    <rPh sb="18" eb="20">
      <t>クブン</t>
    </rPh>
    <phoneticPr fontId="2"/>
  </si>
  <si>
    <t>Ａの
状況
Ｚ</t>
    <rPh sb="3" eb="5">
      <t>ジョウキョウ</t>
    </rPh>
    <phoneticPr fontId="2"/>
  </si>
  <si>
    <t>A'の
状況
Z'</t>
    <rPh sb="4" eb="6">
      <t>ジョウキョウ</t>
    </rPh>
    <phoneticPr fontId="2"/>
  </si>
  <si>
    <t>※前ページ又は上の表でＺ(Z')が「Ａ(A')≧45あり」となった雇用管理区分について、次の表に記載してください。</t>
    <rPh sb="1" eb="2">
      <t>マエ</t>
    </rPh>
    <rPh sb="5" eb="6">
      <t>マタ</t>
    </rPh>
    <rPh sb="7" eb="8">
      <t>ウエ</t>
    </rPh>
    <rPh sb="9" eb="10">
      <t>ヒョウ</t>
    </rPh>
    <rPh sb="44" eb="45">
      <t>ツギ</t>
    </rPh>
    <rPh sb="46" eb="47">
      <t>ヒョウ</t>
    </rPh>
    <rPh sb="48" eb="50">
      <t>キサイ</t>
    </rPh>
    <phoneticPr fontId="2"/>
  </si>
  <si>
    <t>直近～4年前
の事業年度</t>
    <rPh sb="0" eb="2">
      <t>チョッキン</t>
    </rPh>
    <rPh sb="4" eb="5">
      <t>ネン</t>
    </rPh>
    <rPh sb="5" eb="6">
      <t>マエ</t>
    </rPh>
    <rPh sb="8" eb="10">
      <t>ジギョウ</t>
    </rPh>
    <rPh sb="10" eb="12">
      <t>ネンド</t>
    </rPh>
    <phoneticPr fontId="2"/>
  </si>
  <si>
    <r>
      <t>※</t>
    </r>
    <r>
      <rPr>
        <sz val="9"/>
        <color theme="1"/>
        <rFont val="ＭＳ Ｐゴシック"/>
        <family val="3"/>
        <charset val="128"/>
      </rPr>
      <t>(ⅰ)</t>
    </r>
    <r>
      <rPr>
        <sz val="9"/>
        <color theme="1"/>
        <rFont val="ＭＳ ゴシック"/>
        <family val="3"/>
        <charset val="128"/>
      </rPr>
      <t>の表で判定が「非該当」の場は、次の表にも記載してください。</t>
    </r>
    <rPh sb="5" eb="6">
      <t>ヒョウ</t>
    </rPh>
    <rPh sb="7" eb="9">
      <t>ハンテイ</t>
    </rPh>
    <rPh sb="11" eb="12">
      <t>ヒ</t>
    </rPh>
    <rPh sb="12" eb="14">
      <t>ガイトウ</t>
    </rPh>
    <rPh sb="16" eb="17">
      <t>バ</t>
    </rPh>
    <rPh sb="19" eb="20">
      <t>ツギ</t>
    </rPh>
    <rPh sb="21" eb="22">
      <t>ヒョウ</t>
    </rPh>
    <rPh sb="24" eb="26">
      <t>キサイ</t>
    </rPh>
    <phoneticPr fontId="2"/>
  </si>
  <si>
    <r>
      <t>※</t>
    </r>
    <r>
      <rPr>
        <sz val="9"/>
        <color theme="1"/>
        <rFont val="ＭＳ Ｐゴシック"/>
        <family val="3"/>
        <charset val="128"/>
      </rPr>
      <t>(ⅱ)</t>
    </r>
    <r>
      <rPr>
        <sz val="9"/>
        <color theme="1"/>
        <rFont val="ＭＳ ゴシック"/>
        <family val="3"/>
        <charset val="128"/>
      </rPr>
      <t>の表で判定が「非該当」の場は、次の表にも記載してください。</t>
    </r>
    <rPh sb="5" eb="6">
      <t>ヒョウ</t>
    </rPh>
    <rPh sb="7" eb="9">
      <t>ハンテイ</t>
    </rPh>
    <rPh sb="11" eb="12">
      <t>ヒ</t>
    </rPh>
    <rPh sb="12" eb="14">
      <t>ガイトウ</t>
    </rPh>
    <rPh sb="16" eb="17">
      <t>バ</t>
    </rPh>
    <rPh sb="19" eb="20">
      <t>ツギ</t>
    </rPh>
    <rPh sb="21" eb="22">
      <t>ヒョウ</t>
    </rPh>
    <rPh sb="24" eb="26">
      <t>キサイ</t>
    </rPh>
    <phoneticPr fontId="2"/>
  </si>
  <si>
    <t>基準達成状況（５）【多彩なキャリアコース】</t>
    <rPh sb="0" eb="6">
      <t>キジュンタッセイジョウキョウ</t>
    </rPh>
    <phoneticPr fontId="2"/>
  </si>
  <si>
    <t>基準達成状況（２）別紙（2/2）</t>
    <rPh sb="0" eb="6">
      <t>キジュンタッセイジョウキョウ</t>
    </rPh>
    <rPh sb="9" eb="11">
      <t>ベッシ</t>
    </rPh>
    <phoneticPr fontId="2"/>
  </si>
  <si>
    <t>基準達成状況（２）別紙（1/2）</t>
    <rPh sb="0" eb="6">
      <t>キジュンタッセイジョウキョウ</t>
    </rPh>
    <rPh sb="9" eb="11">
      <t>ベッシ</t>
    </rPh>
    <phoneticPr fontId="2"/>
  </si>
  <si>
    <t>　えるぼしチャレンジ企業の認定（認定の更新）を申請するに当たり、秋田県えるぼしチャレンジ企業認定制度要綱第２条に定める次の要件のいずれにも該当することを誓約します。</t>
    <rPh sb="10" eb="12">
      <t>キギョウ</t>
    </rPh>
    <rPh sb="13" eb="15">
      <t>ニンテイ</t>
    </rPh>
    <rPh sb="16" eb="18">
      <t>ニンテイ</t>
    </rPh>
    <rPh sb="19" eb="21">
      <t>コウシン</t>
    </rPh>
    <rPh sb="23" eb="25">
      <t>シンセイ</t>
    </rPh>
    <rPh sb="28" eb="29">
      <t>ア</t>
    </rPh>
    <rPh sb="32" eb="35">
      <t>アキタケン</t>
    </rPh>
    <rPh sb="44" eb="52">
      <t>キギョウニンテイセイドヨウコウ</t>
    </rPh>
    <rPh sb="52" eb="53">
      <t>ダイ</t>
    </rPh>
    <rPh sb="54" eb="55">
      <t>ジョウ</t>
    </rPh>
    <rPh sb="56" eb="57">
      <t>サダ</t>
    </rPh>
    <rPh sb="59" eb="60">
      <t>ツギ</t>
    </rPh>
    <rPh sb="61" eb="63">
      <t>ヨウケン</t>
    </rPh>
    <rPh sb="69" eb="71">
      <t>ガイトウ</t>
    </rPh>
    <rPh sb="76" eb="78">
      <t>セイヤク</t>
    </rPh>
    <phoneticPr fontId="2"/>
  </si>
  <si>
    <t>(ⅰ)の表で判定が「非該当」の場合は、次の表にも記載してください。</t>
    <rPh sb="4" eb="5">
      <t>ヒョウ</t>
    </rPh>
    <rPh sb="6" eb="8">
      <t>ハンテイ</t>
    </rPh>
    <rPh sb="10" eb="13">
      <t>ヒガイトウ</t>
    </rPh>
    <rPh sb="15" eb="17">
      <t>バアイ</t>
    </rPh>
    <rPh sb="19" eb="20">
      <t>ツギ</t>
    </rPh>
    <phoneticPr fontId="2"/>
  </si>
  <si>
    <t>①の表で判定が「非該当」の場は、次の表にも記載してください。</t>
    <rPh sb="2" eb="3">
      <t>ヒョウ</t>
    </rPh>
    <rPh sb="4" eb="6">
      <t>ハンテイ</t>
    </rPh>
    <rPh sb="8" eb="9">
      <t>ヒ</t>
    </rPh>
    <rPh sb="9" eb="11">
      <t>ガイトウ</t>
    </rPh>
    <rPh sb="13" eb="14">
      <t>バ</t>
    </rPh>
    <rPh sb="16" eb="17">
      <t>ツギ</t>
    </rPh>
    <rPh sb="18" eb="19">
      <t>ヒョウ</t>
    </rPh>
    <rPh sb="21" eb="23">
      <t>キサイ</t>
    </rPh>
    <phoneticPr fontId="2"/>
  </si>
  <si>
    <t>②の表で判定が「非該当」の場合は、次の表にも記載してください。</t>
    <rPh sb="2" eb="3">
      <t>ヒョウ</t>
    </rPh>
    <rPh sb="4" eb="6">
      <t>ハンテイ</t>
    </rPh>
    <rPh sb="8" eb="9">
      <t>ヒ</t>
    </rPh>
    <rPh sb="9" eb="11">
      <t>ガイトウ</t>
    </rPh>
    <rPh sb="13" eb="15">
      <t>バアイ</t>
    </rPh>
    <rPh sb="17" eb="18">
      <t>ツギ</t>
    </rPh>
    <rPh sb="19" eb="20">
      <t>ヒョウ</t>
    </rPh>
    <rPh sb="22" eb="24">
      <t>キサイ</t>
    </rPh>
    <phoneticPr fontId="2"/>
  </si>
  <si>
    <t>Ｃの水準
Ｚ</t>
    <rPh sb="2" eb="4">
      <t>スイジュン</t>
    </rPh>
    <phoneticPr fontId="2"/>
  </si>
  <si>
    <t>①の表で判定が「非該当」の場合は、全ての雇用管理区分について次の表にも記載してください。</t>
    <rPh sb="2" eb="3">
      <t>ヒョウ</t>
    </rPh>
    <rPh sb="4" eb="6">
      <t>ハンテイ</t>
    </rPh>
    <rPh sb="8" eb="11">
      <t>ヒガイトウ</t>
    </rPh>
    <rPh sb="13" eb="15">
      <t>バアイ</t>
    </rPh>
    <rPh sb="17" eb="18">
      <t>スベ</t>
    </rPh>
    <rPh sb="20" eb="22">
      <t>コヨウ</t>
    </rPh>
    <rPh sb="22" eb="24">
      <t>カンリ</t>
    </rPh>
    <rPh sb="24" eb="26">
      <t>クブン</t>
    </rPh>
    <rPh sb="30" eb="31">
      <t>ツギ</t>
    </rPh>
    <rPh sb="32" eb="33">
      <t>ヒョウ</t>
    </rPh>
    <rPh sb="35" eb="37">
      <t>キサイ</t>
    </rPh>
    <phoneticPr fontId="2"/>
  </si>
  <si>
    <t>②の表で判定が「非該当」の場合は、別紙（11～12ページ）の表に記載した上で、次の表に転記してください。</t>
    <rPh sb="2" eb="3">
      <t>ヒョウ</t>
    </rPh>
    <rPh sb="4" eb="6">
      <t>ハンテイ</t>
    </rPh>
    <rPh sb="8" eb="11">
      <t>ヒガイトウ</t>
    </rPh>
    <rPh sb="13" eb="15">
      <t>バアイ</t>
    </rPh>
    <rPh sb="17" eb="19">
      <t>ベッシ</t>
    </rPh>
    <rPh sb="30" eb="31">
      <t>ヒョウ</t>
    </rPh>
    <rPh sb="32" eb="34">
      <t>キサイ</t>
    </rPh>
    <rPh sb="36" eb="37">
      <t>ウエ</t>
    </rPh>
    <rPh sb="39" eb="40">
      <t>ツギ</t>
    </rPh>
    <rPh sb="41" eb="42">
      <t>ヒョウ</t>
    </rPh>
    <rPh sb="43" eb="45">
      <t>テンキ</t>
    </rPh>
    <phoneticPr fontId="2"/>
  </si>
  <si>
    <t>別表の連続する３事業年度ごとの区分</t>
    <rPh sb="0" eb="2">
      <t>ベッピョウ</t>
    </rPh>
    <rPh sb="3" eb="5">
      <t>レンゾク</t>
    </rPh>
    <rPh sb="8" eb="10">
      <t>ジギョウ</t>
    </rPh>
    <rPh sb="10" eb="12">
      <t>ネンド</t>
    </rPh>
    <rPh sb="15" eb="17">
      <t>クブン</t>
    </rPh>
    <phoneticPr fontId="2"/>
  </si>
  <si>
    <t>(ⅱ)の表で判定が「非該当」の場合は、次の表にも記載してください。</t>
    <rPh sb="4" eb="5">
      <t>ヒョウ</t>
    </rPh>
    <rPh sb="6" eb="8">
      <t>ハンテイ</t>
    </rPh>
    <rPh sb="10" eb="11">
      <t>ヒ</t>
    </rPh>
    <rPh sb="11" eb="13">
      <t>ガイトウ</t>
    </rPh>
    <rPh sb="15" eb="17">
      <t>バアイ</t>
    </rPh>
    <rPh sb="19" eb="20">
      <t>ツギ</t>
    </rPh>
    <rPh sb="21" eb="22">
      <t>ヒョウ</t>
    </rPh>
    <rPh sb="24" eb="26">
      <t>キサイ</t>
    </rPh>
    <phoneticPr fontId="2"/>
  </si>
  <si>
    <t>時間外労働・休日労働の
合計時間数
X</t>
    <rPh sb="0" eb="3">
      <t>ジカンガイ</t>
    </rPh>
    <rPh sb="3" eb="5">
      <t>ロウドウ</t>
    </rPh>
    <rPh sb="6" eb="8">
      <t>キュウジツ</t>
    </rPh>
    <rPh sb="8" eb="10">
      <t>ロウドウ</t>
    </rPh>
    <rPh sb="12" eb="14">
      <t>ゴウケイ</t>
    </rPh>
    <rPh sb="14" eb="17">
      <t>ジカンスウ</t>
    </rPh>
    <phoneticPr fontId="2"/>
  </si>
  <si>
    <t>対象
労働者数
Y</t>
    <rPh sb="0" eb="2">
      <t>タイショウ</t>
    </rPh>
    <rPh sb="3" eb="6">
      <t>ロウドウシャ</t>
    </rPh>
    <rPh sb="6" eb="7">
      <t>スウ</t>
    </rPh>
    <phoneticPr fontId="2"/>
  </si>
  <si>
    <t>平均時間外労働等時間数
(X/Y)Ａ</t>
    <rPh sb="0" eb="2">
      <t>ヘイキン</t>
    </rPh>
    <rPh sb="2" eb="5">
      <t>ジカンガイ</t>
    </rPh>
    <rPh sb="5" eb="8">
      <t>ロウドウトウ</t>
    </rPh>
    <rPh sb="8" eb="11">
      <t>ジカンスウ</t>
    </rPh>
    <phoneticPr fontId="2"/>
  </si>
  <si>
    <t>上記(ⅱ)の
前・前々
３事業年度</t>
    <rPh sb="0" eb="2">
      <t>ジョウキ</t>
    </rPh>
    <rPh sb="7" eb="8">
      <t>マエ</t>
    </rPh>
    <rPh sb="9" eb="11">
      <t>ゼンゼン</t>
    </rPh>
    <rPh sb="13" eb="15">
      <t>ジギョウ</t>
    </rPh>
    <rPh sb="15" eb="17">
      <t>ネンド</t>
    </rPh>
    <phoneticPr fontId="2"/>
  </si>
  <si>
    <r>
      <rPr>
        <sz val="9"/>
        <color theme="1"/>
        <rFont val="ＭＳ Ｐゴシック"/>
        <family val="3"/>
        <charset val="128"/>
      </rPr>
      <t>(ⅰ)　</t>
    </r>
    <r>
      <rPr>
        <sz val="9"/>
        <color theme="1"/>
        <rFont val="ＭＳ ゴシック"/>
        <family val="3"/>
        <charset val="128"/>
      </rPr>
      <t>女性の非正社員から正社員への転換</t>
    </r>
    <rPh sb="4" eb="6">
      <t>ジョセイ</t>
    </rPh>
    <rPh sb="7" eb="11">
      <t>ヒセイシャイン</t>
    </rPh>
    <rPh sb="13" eb="16">
      <t>セイシャイン</t>
    </rPh>
    <rPh sb="18" eb="20">
      <t>テンカン</t>
    </rPh>
    <phoneticPr fontId="2"/>
  </si>
  <si>
    <r>
      <t>　</t>
    </r>
    <r>
      <rPr>
        <u/>
        <sz val="11"/>
        <color theme="1"/>
        <rFont val="ＭＳ ゴシック"/>
        <family val="3"/>
        <charset val="128"/>
      </rPr>
      <t>②10事業年度前及びその前後の事業年度に採用した新規学卒労働者の男女別の継続雇用割合</t>
    </r>
    <rPh sb="4" eb="6">
      <t>ジギョウ</t>
    </rPh>
    <rPh sb="6" eb="8">
      <t>ネンド</t>
    </rPh>
    <rPh sb="8" eb="9">
      <t>マエ</t>
    </rPh>
    <rPh sb="9" eb="10">
      <t>オヨ</t>
    </rPh>
    <rPh sb="13" eb="15">
      <t>ゼンゴ</t>
    </rPh>
    <rPh sb="16" eb="18">
      <t>ジギョウ</t>
    </rPh>
    <rPh sb="18" eb="20">
      <t>ネンド</t>
    </rPh>
    <rPh sb="21" eb="23">
      <t>サイヨウ</t>
    </rPh>
    <rPh sb="25" eb="27">
      <t>シンキ</t>
    </rPh>
    <rPh sb="27" eb="29">
      <t>ガクソツ</t>
    </rPh>
    <rPh sb="29" eb="32">
      <t>ロウドウシャ</t>
    </rPh>
    <rPh sb="33" eb="36">
      <t>ダンジョベツ</t>
    </rPh>
    <rPh sb="37" eb="39">
      <t>ケイゾク</t>
    </rPh>
    <rPh sb="39" eb="41">
      <t>コヨウ</t>
    </rPh>
    <rPh sb="41" eb="43">
      <t>ワリアイ</t>
    </rPh>
    <phoneticPr fontId="2"/>
  </si>
  <si>
    <t>新規学卒
採用者数</t>
    <rPh sb="0" eb="2">
      <t>シンキ</t>
    </rPh>
    <rPh sb="2" eb="4">
      <t>ガクソツ</t>
    </rPh>
    <rPh sb="5" eb="8">
      <t>サイヨウシャ</t>
    </rPh>
    <rPh sb="8" eb="9">
      <t>スウ</t>
    </rPh>
    <phoneticPr fontId="2"/>
  </si>
  <si>
    <t>基準達成状況（２）(ⅰ)続き</t>
    <rPh sb="0" eb="6">
      <t>キジュンタッセイジョウキョウ</t>
    </rPh>
    <rPh sb="12" eb="13">
      <t>ツヅ</t>
    </rPh>
    <phoneticPr fontId="2"/>
  </si>
  <si>
    <t>一般事業主行動計画</t>
    <rPh sb="0" eb="2">
      <t>イッパン</t>
    </rPh>
    <rPh sb="2" eb="5">
      <t>ジギョウヌシ</t>
    </rPh>
    <rPh sb="5" eb="7">
      <t>コウドウ</t>
    </rPh>
    <rPh sb="7" eb="9">
      <t>ケイカク</t>
    </rPh>
    <phoneticPr fontId="2"/>
  </si>
  <si>
    <t>計画終期</t>
    <rPh sb="0" eb="2">
      <t>ケイカク</t>
    </rPh>
    <rPh sb="2" eb="4">
      <t>シュウキ</t>
    </rPh>
    <phoneticPr fontId="2"/>
  </si>
  <si>
    <t>届出日</t>
    <rPh sb="0" eb="2">
      <t>トドケデ</t>
    </rPh>
    <rPh sb="2" eb="3">
      <t>ビ</t>
    </rPh>
    <phoneticPr fontId="2"/>
  </si>
  <si>
    <t>公表日</t>
    <rPh sb="0" eb="3">
      <t>コウヒョウビ</t>
    </rPh>
    <phoneticPr fontId="2"/>
  </si>
  <si>
    <t>所属</t>
    <rPh sb="0" eb="2">
      <t>ショゾク</t>
    </rPh>
    <phoneticPr fontId="2"/>
  </si>
  <si>
    <t>始期</t>
    <rPh sb="0" eb="2">
      <t>シキ</t>
    </rPh>
    <phoneticPr fontId="2"/>
  </si>
  <si>
    <t>終期</t>
    <rPh sb="0" eb="2">
      <t>シュウキ</t>
    </rPh>
    <phoneticPr fontId="2"/>
  </si>
  <si>
    <t>採用
事業年度</t>
    <rPh sb="0" eb="2">
      <t>サイヨウ</t>
    </rPh>
    <rPh sb="3" eb="5">
      <t>ジギョウ</t>
    </rPh>
    <rPh sb="5" eb="7">
      <t>ネンド</t>
    </rPh>
    <phoneticPr fontId="2"/>
  </si>
  <si>
    <t>別紙から引用</t>
    <rPh sb="0" eb="2">
      <t>ベッシ</t>
    </rPh>
    <rPh sb="4" eb="6">
      <t>インヨウ</t>
    </rPh>
    <phoneticPr fontId="2"/>
  </si>
  <si>
    <t>基準達成状況（２）（5ページ）の(ⅰ)②の表で判定が「非該当」の場合は、次の表を記載してください。</t>
    <rPh sb="21" eb="22">
      <t>ヒョウ</t>
    </rPh>
    <rPh sb="23" eb="25">
      <t>ハンテイ</t>
    </rPh>
    <rPh sb="27" eb="30">
      <t>ヒガイトウ</t>
    </rPh>
    <rPh sb="32" eb="34">
      <t>バアイ</t>
    </rPh>
    <rPh sb="36" eb="37">
      <t>ツギ</t>
    </rPh>
    <rPh sb="38" eb="39">
      <t>ヒョウ</t>
    </rPh>
    <rPh sb="40" eb="42">
      <t>キサイ</t>
    </rPh>
    <phoneticPr fontId="2"/>
  </si>
  <si>
    <t>※雇用管理区分の設定がある場合は、各区分毎に名称、雇用期間ほかを記載してください。
※正社員の雇用管理区分が複数ある場合は、基幹的な雇用管理区分の「基幹」欄に○を付してください。</t>
    <rPh sb="1" eb="3">
      <t>コヨウ</t>
    </rPh>
    <rPh sb="3" eb="5">
      <t>カンリ</t>
    </rPh>
    <rPh sb="5" eb="7">
      <t>クブン</t>
    </rPh>
    <rPh sb="8" eb="10">
      <t>セッテイ</t>
    </rPh>
    <rPh sb="13" eb="15">
      <t>バアイ</t>
    </rPh>
    <rPh sb="17" eb="20">
      <t>カククブン</t>
    </rPh>
    <rPh sb="20" eb="21">
      <t>ゴト</t>
    </rPh>
    <rPh sb="22" eb="24">
      <t>メイショウ</t>
    </rPh>
    <rPh sb="25" eb="27">
      <t>コヨウ</t>
    </rPh>
    <rPh sb="27" eb="29">
      <t>キカン</t>
    </rPh>
    <rPh sb="32" eb="34">
      <t>キサイ</t>
    </rPh>
    <phoneticPr fontId="2"/>
  </si>
  <si>
    <t>産業分類（国別表１）
産業平均値(%)
Ｂ</t>
    <rPh sb="0" eb="2">
      <t>サンギョウ</t>
    </rPh>
    <rPh sb="2" eb="4">
      <t>ブンルイ</t>
    </rPh>
    <rPh sb="5" eb="6">
      <t>クニ</t>
    </rPh>
    <rPh sb="6" eb="8">
      <t>ベッピョウ</t>
    </rPh>
    <rPh sb="11" eb="13">
      <t>サンギョウ</t>
    </rPh>
    <rPh sb="13" eb="16">
      <t>ヘイキンチ</t>
    </rPh>
    <phoneticPr fontId="2"/>
  </si>
  <si>
    <t>産業分類（国別表２）
産業平均値(%)
Ｂ</t>
    <rPh sb="0" eb="2">
      <t>サンギョウ</t>
    </rPh>
    <rPh sb="2" eb="4">
      <t>ブンルイ</t>
    </rPh>
    <rPh sb="5" eb="6">
      <t>クニ</t>
    </rPh>
    <rPh sb="6" eb="8">
      <t>ベッピョウ</t>
    </rPh>
    <rPh sb="11" eb="13">
      <t>サンギョウ</t>
    </rPh>
    <rPh sb="13" eb="16">
      <t>ヘイキンチ</t>
    </rPh>
    <phoneticPr fontId="2"/>
  </si>
  <si>
    <t>産業分類
（国別表３又は別紙１）
産業平均値(年)　　Ｂ</t>
    <rPh sb="0" eb="2">
      <t>サンギョウ</t>
    </rPh>
    <rPh sb="2" eb="4">
      <t>ブンルイ</t>
    </rPh>
    <rPh sb="6" eb="7">
      <t>クニ</t>
    </rPh>
    <rPh sb="10" eb="11">
      <t>マタ</t>
    </rPh>
    <rPh sb="12" eb="14">
      <t>ベッシ</t>
    </rPh>
    <rPh sb="23" eb="24">
      <t>ネン</t>
    </rPh>
    <phoneticPr fontId="2"/>
  </si>
  <si>
    <t>産業分類
（国別表４又は別紙２）
産業平均値(%)　　Ｂ</t>
    <rPh sb="0" eb="2">
      <t>サンギョウ</t>
    </rPh>
    <rPh sb="2" eb="4">
      <t>ブンルイ</t>
    </rPh>
    <rPh sb="6" eb="7">
      <t>クニ</t>
    </rPh>
    <rPh sb="7" eb="9">
      <t>ベッピョウ</t>
    </rPh>
    <rPh sb="10" eb="11">
      <t>マタ</t>
    </rPh>
    <rPh sb="12" eb="14">
      <t>ベッシ</t>
    </rPh>
    <rPh sb="17" eb="19">
      <t>サンギョウ</t>
    </rPh>
    <rPh sb="19" eb="22">
      <t>ヘイキンチ</t>
    </rPh>
    <phoneticPr fontId="2"/>
  </si>
  <si>
    <t>設定なし</t>
  </si>
  <si>
    <t>誓　約</t>
    <rPh sb="0" eb="1">
      <t>チカイ</t>
    </rPh>
    <rPh sb="2" eb="3">
      <t>ヤク</t>
    </rPh>
    <phoneticPr fontId="2"/>
  </si>
  <si>
    <t>※雇用管理区分の設定がない場合は、最上段の同欄に「なし」と記載し、該当の人数を記載してください。</t>
    <rPh sb="17" eb="20">
      <t>サイジョウダン</t>
    </rPh>
    <rPh sb="21" eb="22">
      <t>ドウ</t>
    </rPh>
    <rPh sb="33" eb="35">
      <t>ガイトウ</t>
    </rPh>
    <rPh sb="36" eb="38">
      <t>ニンズウ</t>
    </rPh>
    <phoneticPr fontId="2"/>
  </si>
  <si>
    <t>※（ⅰ)の表でＺが「Ｃ≧Ｂ」又は「比較不能」となった雇用用管理区分について記載してください。
※雇用管理区分の設定がない場合は、最上段の同欄に「なし」と記載し、該当の人数を記載してください。</t>
    <rPh sb="5" eb="6">
      <t>ヒョウ</t>
    </rPh>
    <rPh sb="14" eb="15">
      <t>マタ</t>
    </rPh>
    <rPh sb="17" eb="19">
      <t>ヒカク</t>
    </rPh>
    <rPh sb="19" eb="21">
      <t>フノウ</t>
    </rPh>
    <rPh sb="26" eb="28">
      <t>コヨウ</t>
    </rPh>
    <rPh sb="28" eb="29">
      <t>ヨウ</t>
    </rPh>
    <rPh sb="29" eb="31">
      <t>カンリ</t>
    </rPh>
    <rPh sb="37" eb="39">
      <t>キサイ</t>
    </rPh>
    <rPh sb="64" eb="67">
      <t>サイジョウダン</t>
    </rPh>
    <rPh sb="80" eb="82">
      <t>ガイトウ</t>
    </rPh>
    <phoneticPr fontId="2"/>
  </si>
  <si>
    <t>※雇用管理区分の設定がない場合は、最上段の同欄に「なし」と記載し、該当者のの平均値を記載してください。</t>
    <rPh sb="17" eb="20">
      <t>サイジョウダン</t>
    </rPh>
    <rPh sb="33" eb="35">
      <t>ガイトウ</t>
    </rPh>
    <rPh sb="35" eb="36">
      <t>シャ</t>
    </rPh>
    <rPh sb="38" eb="41">
      <t>ヘイキンチ</t>
    </rPh>
    <phoneticPr fontId="2"/>
  </si>
  <si>
    <t>※雇用管理区分の設定がない場合は、全ての事業年度の最上段の同欄にそれぞれ「なし」と記載し、該当者
　の平均値を記載してください。</t>
    <rPh sb="17" eb="18">
      <t>スベ</t>
    </rPh>
    <rPh sb="20" eb="22">
      <t>ジギョウ</t>
    </rPh>
    <rPh sb="22" eb="24">
      <t>ネンド</t>
    </rPh>
    <rPh sb="25" eb="28">
      <t>サイジョウダン</t>
    </rPh>
    <rPh sb="45" eb="48">
      <t>ガイトウシャ</t>
    </rPh>
    <rPh sb="51" eb="54">
      <t>ヘイキンチ</t>
    </rPh>
    <phoneticPr fontId="2"/>
  </si>
  <si>
    <t>※②の表でＺが「Ｃ＜0.8」又は「算出不能」となった雇用管理区分について記載してください。
※雇用管理区分の設定がない場合は、最上段の同欄に「なし」と記載し、該当の人数を記載してください。</t>
    <rPh sb="3" eb="4">
      <t>ヒョウ</t>
    </rPh>
    <rPh sb="14" eb="15">
      <t>マタ</t>
    </rPh>
    <rPh sb="17" eb="19">
      <t>サンシュツ</t>
    </rPh>
    <rPh sb="19" eb="21">
      <t>フノウ</t>
    </rPh>
    <rPh sb="26" eb="28">
      <t>コヨウ</t>
    </rPh>
    <rPh sb="28" eb="30">
      <t>カンリ</t>
    </rPh>
    <rPh sb="30" eb="32">
      <t>クブン</t>
    </rPh>
    <rPh sb="36" eb="38">
      <t>キサイ</t>
    </rPh>
    <rPh sb="79" eb="81">
      <t>ガイトウ</t>
    </rPh>
    <phoneticPr fontId="2"/>
  </si>
  <si>
    <t>※雇用管理区分の設定がない場合は、最上段の同欄に「なし」と記載し、対象者全体の数値を記載してください。</t>
    <rPh sb="17" eb="20">
      <t>サイジョウダン</t>
    </rPh>
    <rPh sb="21" eb="22">
      <t>ドウ</t>
    </rPh>
    <rPh sb="33" eb="36">
      <t>タイショウシャ</t>
    </rPh>
    <rPh sb="39" eb="41">
      <t>スウチ</t>
    </rPh>
    <phoneticPr fontId="2"/>
  </si>
  <si>
    <t>※雇用管理区分の設定がない場合は、全ての事業年度の最上段の同欄にそれぞれ「なし」と記載し、該当月
　数、平均時間数を記載してください。</t>
    <rPh sb="17" eb="18">
      <t>スベ</t>
    </rPh>
    <rPh sb="20" eb="22">
      <t>ジギョウ</t>
    </rPh>
    <rPh sb="22" eb="24">
      <t>ネンド</t>
    </rPh>
    <rPh sb="25" eb="28">
      <t>サイジョウダン</t>
    </rPh>
    <rPh sb="45" eb="47">
      <t>ガイトウ</t>
    </rPh>
    <rPh sb="47" eb="48">
      <t>ツキ</t>
    </rPh>
    <rPh sb="50" eb="51">
      <t>スウ</t>
    </rPh>
    <rPh sb="52" eb="54">
      <t>ヘイキン</t>
    </rPh>
    <rPh sb="54" eb="56">
      <t>ジカン</t>
    </rPh>
    <rPh sb="56" eb="57">
      <t>スウ</t>
    </rPh>
    <phoneticPr fontId="2"/>
  </si>
  <si>
    <t>※(２)シート(ⅰ)②の表で「Ｃ＜0.8」又は「算出不能」の雇用管理区分について記載してください。
※雇用管理区分の設定がない場合は、最上段の同欄に「なし」と記載し、該当の人数を記載してください。</t>
    <rPh sb="12" eb="13">
      <t>ヒョウ</t>
    </rPh>
    <rPh sb="21" eb="22">
      <t>マタ</t>
    </rPh>
    <rPh sb="24" eb="26">
      <t>サンシュツ</t>
    </rPh>
    <rPh sb="26" eb="28">
      <t>フノウ</t>
    </rPh>
    <rPh sb="30" eb="32">
      <t>コヨウ</t>
    </rPh>
    <rPh sb="32" eb="34">
      <t>カンリ</t>
    </rPh>
    <rPh sb="34" eb="36">
      <t>クブン</t>
    </rPh>
    <rPh sb="40" eb="42">
      <t>キサイ</t>
    </rPh>
    <rPh sb="67" eb="70">
      <t>サイジョウダン</t>
    </rPh>
    <rPh sb="83" eb="85">
      <t>ガイトウ</t>
    </rPh>
    <phoneticPr fontId="2"/>
  </si>
  <si>
    <t>秋田共同参画株式会社</t>
    <rPh sb="0" eb="2">
      <t>アキタ</t>
    </rPh>
    <rPh sb="2" eb="4">
      <t>キョウドウ</t>
    </rPh>
    <rPh sb="4" eb="6">
      <t>サンカク</t>
    </rPh>
    <rPh sb="6" eb="10">
      <t>カブシキガイシャ</t>
    </rPh>
    <phoneticPr fontId="2"/>
  </si>
  <si>
    <t>代表取締役</t>
    <rPh sb="0" eb="5">
      <t>ダイヒョウトリシマリヤク</t>
    </rPh>
    <phoneticPr fontId="2"/>
  </si>
  <si>
    <t>秋田市山王四丁目１－１</t>
    <rPh sb="0" eb="3">
      <t>アキタシ</t>
    </rPh>
    <rPh sb="3" eb="8">
      <t>サンノウ4チョウメ</t>
    </rPh>
    <phoneticPr fontId="2"/>
  </si>
  <si>
    <t>三角　垂心</t>
    <rPh sb="0" eb="2">
      <t>サンカク</t>
    </rPh>
    <rPh sb="3" eb="5">
      <t>スイシン</t>
    </rPh>
    <phoneticPr fontId="2"/>
  </si>
  <si>
    <t>電気機械器具製造業</t>
    <rPh sb="0" eb="9">
      <t>デンキキカイキグセイゾウギョウ</t>
    </rPh>
    <phoneticPr fontId="2"/>
  </si>
  <si>
    <t>設定あり</t>
  </si>
  <si>
    <t>定めなし(無期)</t>
  </si>
  <si>
    <t>常勤ﾌﾙﾀｲﾑ</t>
  </si>
  <si>
    <t>対象労働者</t>
  </si>
  <si>
    <t>技術職</t>
    <rPh sb="0" eb="2">
      <t>ギジュツ</t>
    </rPh>
    <rPh sb="2" eb="3">
      <t>ショク</t>
    </rPh>
    <phoneticPr fontId="2"/>
  </si>
  <si>
    <t>○</t>
  </si>
  <si>
    <t>パート社員</t>
    <rPh sb="3" eb="5">
      <t>シャイン</t>
    </rPh>
    <phoneticPr fontId="2"/>
  </si>
  <si>
    <t>営業部</t>
    <rPh sb="0" eb="3">
      <t>エイギョウブ</t>
    </rPh>
    <phoneticPr fontId="2"/>
  </si>
  <si>
    <t>営業部長</t>
    <rPh sb="0" eb="2">
      <t>エイギョウ</t>
    </rPh>
    <rPh sb="2" eb="4">
      <t>ブチョウ</t>
    </rPh>
    <phoneticPr fontId="2"/>
  </si>
  <si>
    <t>□□　□□</t>
  </si>
  <si>
    <t>018-860-1555</t>
  </si>
  <si>
    <t>abcd-efg@hijklm.jp</t>
  </si>
  <si>
    <t>営業職</t>
    <rPh sb="0" eb="3">
      <t>エイギョウショク</t>
    </rPh>
    <phoneticPr fontId="2"/>
  </si>
  <si>
    <t>パート技術職</t>
    <rPh sb="3" eb="6">
      <t>ギジュツショク</t>
    </rPh>
    <phoneticPr fontId="2"/>
  </si>
  <si>
    <t>非該当</t>
  </si>
  <si>
    <t>技術職</t>
    <rPh sb="0" eb="3">
      <t>ギジュツショク</t>
    </rPh>
    <phoneticPr fontId="2"/>
  </si>
  <si>
    <t>該当</t>
  </si>
  <si>
    <t>株式会社参画企画</t>
    <rPh sb="0" eb="4">
      <t>カブシキガイシャ</t>
    </rPh>
    <rPh sb="4" eb="6">
      <t>サンカク</t>
    </rPh>
    <rPh sb="6" eb="8">
      <t>キカク</t>
    </rPh>
    <phoneticPr fontId="2"/>
  </si>
  <si>
    <t>代表取締役社長</t>
    <rPh sb="0" eb="5">
      <t>ダイヒョウトリシマリヤク</t>
    </rPh>
    <rPh sb="5" eb="7">
      <t>シャチョウ</t>
    </rPh>
    <phoneticPr fontId="2"/>
  </si>
  <si>
    <t>秋田市山王三丁目１－１</t>
    <rPh sb="0" eb="3">
      <t>アキタシ</t>
    </rPh>
    <rPh sb="3" eb="5">
      <t>サンオウ</t>
    </rPh>
    <rPh sb="5" eb="6">
      <t>ミ</t>
    </rPh>
    <rPh sb="6" eb="8">
      <t>チョウメ</t>
    </rPh>
    <phoneticPr fontId="2"/>
  </si>
  <si>
    <t>安芸田　憲一</t>
    <rPh sb="0" eb="3">
      <t>アキタ</t>
    </rPh>
    <rPh sb="4" eb="5">
      <t>ケン</t>
    </rPh>
    <rPh sb="5" eb="6">
      <t>1</t>
    </rPh>
    <phoneticPr fontId="2"/>
  </si>
  <si>
    <t>総務課</t>
    <rPh sb="0" eb="3">
      <t>ソウムカ</t>
    </rPh>
    <phoneticPr fontId="2"/>
  </si>
  <si>
    <t>係長</t>
    <rPh sb="0" eb="2">
      <t>カカリチョウ</t>
    </rPh>
    <phoneticPr fontId="2"/>
  </si>
  <si>
    <t>○○　○○○</t>
  </si>
  <si>
    <t>018-860-1000</t>
  </si>
  <si>
    <t>qrstuv@wxy.jp</t>
  </si>
  <si>
    <t>なし</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</si>
</sst>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176" formatCode="0.0%"/>
    <numFmt numFmtId="177" formatCode="0.0_ "/>
    <numFmt numFmtId="178" formatCode="[$-411]ggge&quot;年&quot;"/>
    <numFmt numFmtId="179" formatCode="0.00&quot;倍&quot;"/>
    <numFmt numFmtId="180" formatCode="#,##0.0&quot;年&quot;"/>
    <numFmt numFmtId="181" formatCode="0&quot;人 &quot;"/>
    <numFmt numFmtId="182" formatCode="#,##0&quot;時間 &quot;"/>
    <numFmt numFmtId="183" formatCode="0.0_);[Red]\(0.0\)"/>
    <numFmt numFmtId="184" formatCode="[$-411]ggge&quot;年&quot;m&quot;月&quot;"/>
    <numFmt numFmtId="185" formatCode="#,##0.0&quot;%&quot;"/>
    <numFmt numFmtId="186" formatCode="yyyy&quot;年&quot;"/>
    <numFmt numFmtId="187" formatCode="0&quot;人　&quot;"/>
    <numFmt numFmtId="188" formatCode="&quot;Ａ　&quot;0&quot;人　&quot;"/>
    <numFmt numFmtId="189" formatCode="#,##0.0&quot;年　　　&quot;"/>
    <numFmt numFmtId="190" formatCode="0&quot;か&quot;&quot;月　　&quot;"/>
    <numFmt numFmtId="191" formatCode="0.00&quot;　 &quot;"/>
    <numFmt numFmtId="192" formatCode="[$-F800]dddd\,\ mmmm\ dd\,\ yyyy"/>
    <numFmt numFmtId="193" formatCode="#,##0.0&quot;年　　&quot;"/>
    <numFmt numFmtId="194" formatCode="0.00&quot; &quot;"/>
    <numFmt numFmtId="195" formatCode="[$-411]\ \ ggge&quot;年★&quot;"/>
    <numFmt numFmtId="196" formatCode="0.0&quot;か&quot;&quot;月 &quot;"/>
    <numFmt numFmtId="197" formatCode="#,##0.0&quot;時間　 &quot;"/>
    <numFmt numFmtId="198" formatCode="#,##0.0&quot;時間 &quot;"/>
    <numFmt numFmtId="199" formatCode="0&quot;人　 &quot;"/>
    <numFmt numFmtId="200" formatCode="[$-411]\ \ yyyy&quot;年★&quot;"/>
    <numFmt numFmtId="201" formatCode="0&quot;人　　&quot;"/>
    <numFmt numFmtId="202" formatCode="0.00_ "/>
  </numFmts>
  <fonts count="28" x14ac:knownFonts="1">
    <font>
      <sz val="11"/>
      <color theme="1"/>
      <name val="ＭＳ Ｐゴシック"/>
      <family val="3"/>
      <scheme val="minor"/>
    </font>
    <font>
      <sz val="11"/>
      <color theme="1"/>
      <name val="ＭＳ Ｐゴシック"/>
      <family val="3"/>
      <scheme val="minor"/>
    </font>
    <font>
      <sz val="6"/>
      <name val="ＭＳ Ｐゴシック"/>
      <family val="3"/>
      <charset val="128"/>
      <scheme val="minor"/>
    </font>
    <font>
      <sz val="11"/>
      <color theme="1"/>
      <name val="ＭＳ ゴシック"/>
      <family val="3"/>
      <charset val="128"/>
    </font>
    <font>
      <sz val="14"/>
      <color theme="1"/>
      <name val="ＭＳ ゴシック"/>
      <family val="3"/>
      <charset val="128"/>
    </font>
    <font>
      <sz val="10"/>
      <color theme="1"/>
      <name val="ＭＳ ゴシック"/>
      <family val="3"/>
      <charset val="128"/>
    </font>
    <font>
      <sz val="9"/>
      <color theme="1"/>
      <name val="ＭＳ ゴシック"/>
      <family val="3"/>
      <charset val="128"/>
    </font>
    <font>
      <b/>
      <sz val="11"/>
      <color rgb="FFFF0000"/>
      <name val="ＭＳ ゴシック"/>
      <family val="3"/>
      <charset val="128"/>
    </font>
    <font>
      <sz val="10"/>
      <name val="ＭＳ Ｐゴシック"/>
      <family val="3"/>
      <charset val="128"/>
      <scheme val="minor"/>
    </font>
    <font>
      <sz val="9"/>
      <name val="ＭＳ ゴシック"/>
      <family val="3"/>
      <charset val="128"/>
    </font>
    <font>
      <sz val="10"/>
      <name val="ＭＳ ゴシック"/>
      <family val="3"/>
      <charset val="128"/>
    </font>
    <font>
      <sz val="10"/>
      <color theme="0"/>
      <name val="ＭＳ ゴシック"/>
      <family val="3"/>
      <charset val="128"/>
    </font>
    <font>
      <sz val="10"/>
      <color rgb="FFFF0000"/>
      <name val="ＭＳ ゴシック"/>
      <family val="3"/>
      <charset val="128"/>
    </font>
    <font>
      <sz val="9"/>
      <color rgb="FFFF0000"/>
      <name val="ＭＳ ゴシック"/>
      <family val="3"/>
      <charset val="128"/>
    </font>
    <font>
      <sz val="8"/>
      <color theme="1"/>
      <name val="ＭＳ ゴシック"/>
      <family val="3"/>
      <charset val="128"/>
    </font>
    <font>
      <u/>
      <sz val="11"/>
      <color theme="1"/>
      <name val="ＭＳ ゴシック"/>
      <family val="3"/>
      <charset val="128"/>
    </font>
    <font>
      <sz val="4"/>
      <color theme="1"/>
      <name val="ＭＳ ゴシック"/>
      <family val="3"/>
      <charset val="128"/>
    </font>
    <font>
      <sz val="9"/>
      <color theme="1"/>
      <name val="ＭＳ Ｐゴシック"/>
      <family val="3"/>
      <charset val="128"/>
    </font>
    <font>
      <u/>
      <sz val="11"/>
      <color theme="1"/>
      <name val="ＭＳ Ｐゴシック"/>
      <family val="3"/>
      <charset val="128"/>
    </font>
    <font>
      <sz val="9"/>
      <color theme="0"/>
      <name val="ＭＳ ゴシック"/>
      <family val="3"/>
      <charset val="128"/>
    </font>
    <font>
      <sz val="11"/>
      <color theme="1"/>
      <name val="ＭＳ Ｐゴシック"/>
      <family val="2"/>
      <charset val="128"/>
      <scheme val="minor"/>
    </font>
    <font>
      <sz val="8"/>
      <name val="ＭＳ ゴシック"/>
      <family val="3"/>
      <charset val="128"/>
    </font>
    <font>
      <sz val="11"/>
      <color rgb="FFFF0000"/>
      <name val="ＭＳ ゴシック"/>
      <family val="3"/>
      <charset val="128"/>
    </font>
    <font>
      <sz val="11"/>
      <color theme="0"/>
      <name val="ＭＳ ゴシック"/>
      <family val="3"/>
      <charset val="128"/>
    </font>
    <font>
      <sz val="14"/>
      <color rgb="FFFF0000"/>
      <name val="ＭＳ ゴシック"/>
      <family val="3"/>
      <charset val="128"/>
    </font>
    <font>
      <sz val="14"/>
      <color theme="0"/>
      <name val="ＭＳ ゴシック"/>
      <family val="3"/>
      <charset val="128"/>
    </font>
    <font>
      <sz val="10"/>
      <color theme="0"/>
      <name val="ＭＳ Ｐゴシック"/>
      <family val="3"/>
      <scheme val="minor"/>
    </font>
    <font>
      <sz val="10"/>
      <name val="ＭＳ Ｐゴシック"/>
      <family val="3"/>
      <scheme val="minor"/>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s>
  <borders count="92">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medium">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thin">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top style="thick">
        <color rgb="FFFF0000"/>
      </top>
      <bottom/>
      <diagonal/>
    </border>
    <border>
      <left style="thick">
        <color rgb="FFFF0000"/>
      </left>
      <right/>
      <top style="thick">
        <color rgb="FFFF0000"/>
      </top>
      <bottom style="thin">
        <color indexed="64"/>
      </bottom>
      <diagonal/>
    </border>
    <border>
      <left/>
      <right/>
      <top style="thick">
        <color rgb="FFFF0000"/>
      </top>
      <bottom style="thin">
        <color indexed="64"/>
      </bottom>
      <diagonal/>
    </border>
    <border>
      <left/>
      <right style="thick">
        <color rgb="FFFF0000"/>
      </right>
      <top style="thick">
        <color rgb="FFFF0000"/>
      </top>
      <bottom style="thin">
        <color indexed="64"/>
      </bottom>
      <diagonal/>
    </border>
    <border>
      <left style="thick">
        <color rgb="FFFF0000"/>
      </left>
      <right/>
      <top style="thin">
        <color indexed="64"/>
      </top>
      <bottom/>
      <diagonal/>
    </border>
    <border>
      <left/>
      <right style="thick">
        <color rgb="FFFF0000"/>
      </right>
      <top style="thin">
        <color indexed="64"/>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top style="thin">
        <color indexed="64"/>
      </top>
      <bottom style="thick">
        <color rgb="FFFF0000"/>
      </bottom>
      <diagonal/>
    </border>
    <border>
      <left/>
      <right/>
      <top style="thin">
        <color indexed="64"/>
      </top>
      <bottom style="thick">
        <color rgb="FFFF0000"/>
      </bottom>
      <diagonal/>
    </border>
    <border>
      <left/>
      <right style="thick">
        <color rgb="FFFF0000"/>
      </right>
      <top style="thin">
        <color indexed="64"/>
      </top>
      <bottom style="thick">
        <color rgb="FFFF0000"/>
      </bottom>
      <diagonal/>
    </border>
    <border>
      <left style="thick">
        <color rgb="FFFF0000"/>
      </left>
      <right/>
      <top style="thick">
        <color rgb="FFFF0000"/>
      </top>
      <bottom/>
      <diagonal/>
    </border>
    <border>
      <left/>
      <right style="thick">
        <color rgb="FFFF0000"/>
      </right>
      <top style="thick">
        <color rgb="FFFF0000"/>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bottom/>
      <diagonal/>
    </border>
    <border>
      <left/>
      <right style="thick">
        <color rgb="FFFF0000"/>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ck">
        <color rgb="FFFF0000"/>
      </left>
      <right style="thin">
        <color auto="1"/>
      </right>
      <top style="thick">
        <color rgb="FFFF0000"/>
      </top>
      <bottom style="thick">
        <color rgb="FFFF0000"/>
      </bottom>
      <diagonal/>
    </border>
    <border>
      <left style="thin">
        <color auto="1"/>
      </left>
      <right style="thin">
        <color auto="1"/>
      </right>
      <top style="thick">
        <color rgb="FFFF0000"/>
      </top>
      <bottom style="thick">
        <color rgb="FFFF0000"/>
      </bottom>
      <diagonal/>
    </border>
    <border>
      <left style="thin">
        <color auto="1"/>
      </left>
      <right style="thick">
        <color rgb="FFFF0000"/>
      </right>
      <top style="thick">
        <color rgb="FFFF0000"/>
      </top>
      <bottom style="thick">
        <color rgb="FFFF0000"/>
      </bottom>
      <diagonal/>
    </border>
    <border>
      <left style="thick">
        <color rgb="FFFF0000"/>
      </left>
      <right/>
      <top style="thick">
        <color rgb="FFFF0000"/>
      </top>
      <bottom style="thin">
        <color theme="1"/>
      </bottom>
      <diagonal/>
    </border>
    <border>
      <left/>
      <right style="thick">
        <color rgb="FFFF0000"/>
      </right>
      <top style="thick">
        <color rgb="FFFF0000"/>
      </top>
      <bottom style="thin">
        <color theme="1"/>
      </bottom>
      <diagonal/>
    </border>
    <border>
      <left style="thick">
        <color rgb="FFFF0000"/>
      </left>
      <right/>
      <top style="thin">
        <color theme="1"/>
      </top>
      <bottom style="thin">
        <color theme="1"/>
      </bottom>
      <diagonal/>
    </border>
    <border>
      <left/>
      <right style="thick">
        <color rgb="FFFF0000"/>
      </right>
      <top style="thin">
        <color theme="1"/>
      </top>
      <bottom style="thin">
        <color theme="1"/>
      </bottom>
      <diagonal/>
    </border>
    <border>
      <left style="thick">
        <color rgb="FFFF0000"/>
      </left>
      <right/>
      <top style="thin">
        <color theme="1"/>
      </top>
      <bottom style="thick">
        <color rgb="FFFF0000"/>
      </bottom>
      <diagonal/>
    </border>
    <border>
      <left/>
      <right style="thick">
        <color rgb="FFFF0000"/>
      </right>
      <top style="thin">
        <color theme="1"/>
      </top>
      <bottom style="thick">
        <color rgb="FFFF0000"/>
      </bottom>
      <diagonal/>
    </border>
    <border>
      <left/>
      <right style="thin">
        <color indexed="64"/>
      </right>
      <top style="thick">
        <color rgb="FFFF0000"/>
      </top>
      <bottom style="thick">
        <color rgb="FFFF0000"/>
      </bottom>
      <diagonal/>
    </border>
    <border>
      <left style="thin">
        <color indexed="64"/>
      </left>
      <right/>
      <top style="thick">
        <color rgb="FFFF0000"/>
      </top>
      <bottom style="thick">
        <color rgb="FFFF0000"/>
      </bottom>
      <diagonal/>
    </border>
  </borders>
  <cellStyleXfs count="3">
    <xf numFmtId="0" fontId="0" fillId="0" borderId="0">
      <alignment vertical="center"/>
    </xf>
    <xf numFmtId="9" fontId="1" fillId="0" borderId="0" applyFont="0" applyFill="0" applyBorder="0" applyAlignment="0" applyProtection="0">
      <alignment vertical="center"/>
    </xf>
    <xf numFmtId="0" fontId="20" fillId="0" borderId="0">
      <alignment vertical="center"/>
    </xf>
  </cellStyleXfs>
  <cellXfs count="1509">
    <xf numFmtId="0" fontId="0" fillId="0" borderId="0" xfId="0">
      <alignment vertical="center"/>
    </xf>
    <xf numFmtId="0" fontId="3" fillId="0" borderId="0" xfId="0" applyFont="1" applyProtection="1">
      <alignment vertical="center"/>
    </xf>
    <xf numFmtId="0" fontId="4" fillId="0" borderId="0" xfId="0" applyFont="1" applyProtection="1">
      <alignment vertical="center"/>
    </xf>
    <xf numFmtId="0" fontId="5" fillId="0" borderId="0" xfId="0" applyFont="1" applyProtection="1">
      <alignment vertical="center"/>
    </xf>
    <xf numFmtId="0" fontId="12" fillId="0" borderId="0" xfId="0" applyFont="1" applyAlignment="1" applyProtection="1">
      <alignment horizontal="right" vertical="center"/>
    </xf>
    <xf numFmtId="0" fontId="3" fillId="0" borderId="1" xfId="0" applyFont="1" applyBorder="1" applyProtection="1">
      <alignment vertical="center"/>
    </xf>
    <xf numFmtId="0" fontId="3" fillId="0" borderId="5" xfId="0" applyFont="1" applyBorder="1" applyProtection="1">
      <alignment vertical="center"/>
    </xf>
    <xf numFmtId="0" fontId="3" fillId="0" borderId="9" xfId="0" applyFont="1" applyBorder="1" applyProtection="1">
      <alignment vertical="center"/>
    </xf>
    <xf numFmtId="0" fontId="7" fillId="0" borderId="0" xfId="0" applyFont="1" applyProtection="1">
      <alignment vertical="center"/>
    </xf>
    <xf numFmtId="0" fontId="6" fillId="0" borderId="0" xfId="0" applyFont="1" applyProtection="1">
      <alignment vertical="center"/>
    </xf>
    <xf numFmtId="0" fontId="13" fillId="0" borderId="0" xfId="0" applyFont="1" applyAlignment="1" applyProtection="1">
      <alignment horizontal="right" vertical="center"/>
    </xf>
    <xf numFmtId="0" fontId="3" fillId="0" borderId="0" xfId="0" quotePrefix="1" applyFont="1" applyProtection="1">
      <alignment vertical="center"/>
    </xf>
    <xf numFmtId="0" fontId="5" fillId="0" borderId="0" xfId="0" applyFont="1" applyAlignment="1" applyProtection="1">
      <alignment horizontal="right" vertical="center"/>
    </xf>
    <xf numFmtId="0" fontId="5" fillId="0" borderId="0" xfId="0" applyFont="1" applyAlignment="1" applyProtection="1">
      <alignment vertical="center"/>
    </xf>
    <xf numFmtId="0" fontId="6" fillId="0" borderId="0" xfId="0" applyFont="1" applyAlignment="1" applyProtection="1">
      <alignment horizontal="center" vertical="center"/>
    </xf>
    <xf numFmtId="0" fontId="3" fillId="0" borderId="0" xfId="0" applyFont="1" applyBorder="1" applyProtection="1">
      <alignment vertical="center"/>
    </xf>
    <xf numFmtId="0" fontId="3" fillId="0" borderId="20" xfId="0" applyFont="1" applyBorder="1" applyProtection="1">
      <alignment vertical="center"/>
    </xf>
    <xf numFmtId="0" fontId="15" fillId="0" borderId="0" xfId="0" applyFont="1" applyProtection="1">
      <alignment vertical="center"/>
    </xf>
    <xf numFmtId="0" fontId="15" fillId="0" borderId="0" xfId="0" quotePrefix="1" applyFont="1" applyProtection="1">
      <alignment vertical="center"/>
    </xf>
    <xf numFmtId="181" fontId="5" fillId="0" borderId="0" xfId="0" applyNumberFormat="1" applyFont="1" applyFill="1" applyBorder="1" applyAlignment="1" applyProtection="1">
      <alignment horizontal="right" vertical="center"/>
    </xf>
    <xf numFmtId="0" fontId="3" fillId="0" borderId="0" xfId="0" applyFont="1" applyFill="1" applyBorder="1" applyProtection="1">
      <alignment vertical="center"/>
    </xf>
    <xf numFmtId="0" fontId="6" fillId="0" borderId="40"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protection locked="0"/>
    </xf>
    <xf numFmtId="0" fontId="5" fillId="0" borderId="0" xfId="0" applyFont="1" applyFill="1" applyBorder="1" applyAlignment="1" applyProtection="1">
      <alignment horizontal="center" vertical="center"/>
    </xf>
    <xf numFmtId="0" fontId="6" fillId="0" borderId="0" xfId="0" applyFont="1" applyFill="1" applyBorder="1" applyProtection="1">
      <alignment vertical="center"/>
    </xf>
    <xf numFmtId="178" fontId="5" fillId="0" borderId="0" xfId="0" applyNumberFormat="1" applyFont="1" applyFill="1" applyBorder="1" applyAlignment="1" applyProtection="1">
      <alignment horizontal="center" vertical="center"/>
    </xf>
    <xf numFmtId="0" fontId="16" fillId="0" borderId="11"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wrapText="1"/>
    </xf>
    <xf numFmtId="0" fontId="16" fillId="0" borderId="6" xfId="0" applyFont="1" applyFill="1" applyBorder="1" applyAlignment="1" applyProtection="1">
      <alignment horizontal="center" vertical="center" wrapText="1"/>
    </xf>
    <xf numFmtId="0" fontId="16" fillId="0" borderId="7" xfId="0" applyFont="1" applyFill="1" applyBorder="1" applyAlignment="1" applyProtection="1">
      <alignment horizontal="center" vertical="center" wrapText="1"/>
    </xf>
    <xf numFmtId="0" fontId="10" fillId="0" borderId="2" xfId="0" applyFont="1" applyBorder="1" applyProtection="1">
      <alignment vertical="center"/>
    </xf>
    <xf numFmtId="0" fontId="5" fillId="0" borderId="6" xfId="0" applyFont="1" applyFill="1" applyBorder="1" applyAlignment="1" applyProtection="1">
      <alignment horizontal="right" vertical="center"/>
    </xf>
    <xf numFmtId="0" fontId="5" fillId="0" borderId="7" xfId="0" applyFont="1" applyFill="1" applyBorder="1" applyAlignment="1" applyProtection="1">
      <alignment horizontal="right" vertical="center"/>
    </xf>
    <xf numFmtId="0" fontId="5" fillId="0" borderId="0" xfId="0" applyFont="1" applyAlignment="1" applyProtection="1">
      <alignment horizontal="center" vertical="center"/>
    </xf>
    <xf numFmtId="0" fontId="13" fillId="0" borderId="0" xfId="0" applyFont="1" applyBorder="1" applyAlignment="1" applyProtection="1">
      <alignment horizontal="right" vertical="center"/>
    </xf>
    <xf numFmtId="0" fontId="5" fillId="0" borderId="0" xfId="0" applyFont="1" applyBorder="1" applyProtection="1">
      <alignment vertical="center"/>
    </xf>
    <xf numFmtId="0" fontId="11" fillId="0" borderId="0" xfId="0" applyFont="1" applyAlignment="1" applyProtection="1">
      <alignment vertical="center"/>
    </xf>
    <xf numFmtId="0" fontId="5" fillId="3" borderId="19" xfId="0" applyFont="1" applyFill="1" applyBorder="1" applyAlignment="1" applyProtection="1">
      <alignment horizontal="center" vertical="center"/>
      <protection locked="0"/>
    </xf>
    <xf numFmtId="0" fontId="12" fillId="0" borderId="0" xfId="0" applyFont="1" applyAlignment="1">
      <alignment horizontal="left" vertical="center"/>
    </xf>
    <xf numFmtId="0" fontId="12" fillId="0" borderId="0" xfId="0" applyFont="1" applyAlignment="1" applyProtection="1">
      <alignment horizontal="left" vertical="center"/>
    </xf>
    <xf numFmtId="0" fontId="9" fillId="0" borderId="0" xfId="0" applyFont="1" applyAlignment="1" applyProtection="1">
      <alignment horizontal="right" vertical="center"/>
    </xf>
    <xf numFmtId="0" fontId="10" fillId="0" borderId="0" xfId="0" applyFont="1" applyAlignment="1" applyProtection="1">
      <alignment horizontal="left" vertical="center"/>
    </xf>
    <xf numFmtId="0" fontId="3" fillId="0" borderId="0" xfId="0" applyFont="1" applyFill="1" applyProtection="1">
      <alignment vertical="center"/>
    </xf>
    <xf numFmtId="0" fontId="9" fillId="0" borderId="0" xfId="0" applyFont="1" applyBorder="1" applyAlignment="1" applyProtection="1">
      <alignment vertical="center"/>
    </xf>
    <xf numFmtId="0" fontId="6" fillId="0" borderId="0" xfId="0" applyFont="1" applyBorder="1" applyProtection="1">
      <alignment vertical="center"/>
    </xf>
    <xf numFmtId="0" fontId="6" fillId="0" borderId="4" xfId="0" applyFont="1" applyBorder="1" applyProtection="1">
      <alignment vertical="center"/>
    </xf>
    <xf numFmtId="0" fontId="6" fillId="0" borderId="7" xfId="0" applyFont="1" applyBorder="1" applyProtection="1">
      <alignment vertical="center"/>
    </xf>
    <xf numFmtId="0" fontId="6" fillId="0" borderId="12" xfId="0" applyFont="1" applyBorder="1" applyProtection="1">
      <alignment vertical="center"/>
    </xf>
    <xf numFmtId="0" fontId="19" fillId="0" borderId="0" xfId="0" applyFont="1" applyProtection="1">
      <alignment vertical="center"/>
    </xf>
    <xf numFmtId="0" fontId="3" fillId="3" borderId="19" xfId="0" applyFont="1" applyFill="1" applyBorder="1" applyProtection="1">
      <alignment vertical="center"/>
    </xf>
    <xf numFmtId="0" fontId="3" fillId="4" borderId="19" xfId="0" applyFont="1" applyFill="1" applyBorder="1" applyProtection="1">
      <alignment vertical="center"/>
    </xf>
    <xf numFmtId="0" fontId="9" fillId="0" borderId="0" xfId="0" applyFont="1" applyBorder="1" applyAlignment="1" applyProtection="1">
      <alignment vertical="center" wrapText="1"/>
    </xf>
    <xf numFmtId="0" fontId="6" fillId="0" borderId="5" xfId="0" applyFont="1" applyBorder="1" applyAlignment="1" applyProtection="1">
      <alignment vertical="center" wrapText="1"/>
    </xf>
    <xf numFmtId="178" fontId="5" fillId="3" borderId="6" xfId="0" applyNumberFormat="1" applyFont="1" applyFill="1" applyBorder="1" applyAlignment="1" applyProtection="1">
      <alignment vertical="center" wrapText="1"/>
    </xf>
    <xf numFmtId="178" fontId="5" fillId="3" borderId="0" xfId="0" applyNumberFormat="1" applyFont="1" applyFill="1" applyBorder="1" applyAlignment="1" applyProtection="1">
      <alignment vertical="center" wrapText="1"/>
    </xf>
    <xf numFmtId="178" fontId="5" fillId="3" borderId="7" xfId="0" applyNumberFormat="1" applyFont="1" applyFill="1" applyBorder="1" applyAlignment="1" applyProtection="1">
      <alignment vertical="center" wrapText="1"/>
    </xf>
    <xf numFmtId="178" fontId="5" fillId="4" borderId="6" xfId="0" applyNumberFormat="1" applyFont="1" applyFill="1" applyBorder="1" applyAlignment="1" applyProtection="1">
      <alignment vertical="center" wrapText="1"/>
    </xf>
    <xf numFmtId="178" fontId="5" fillId="4" borderId="0" xfId="0" applyNumberFormat="1" applyFont="1" applyFill="1" applyBorder="1" applyAlignment="1" applyProtection="1">
      <alignment vertical="center" wrapText="1"/>
    </xf>
    <xf numFmtId="178" fontId="5" fillId="4" borderId="7" xfId="0" applyNumberFormat="1" applyFont="1" applyFill="1" applyBorder="1" applyAlignment="1" applyProtection="1">
      <alignment vertical="center" wrapText="1"/>
    </xf>
    <xf numFmtId="0" fontId="3" fillId="0" borderId="6" xfId="0" applyFont="1" applyFill="1" applyBorder="1" applyProtection="1">
      <alignment vertical="center"/>
    </xf>
    <xf numFmtId="0" fontId="6" fillId="0" borderId="0" xfId="0" applyFont="1" applyFill="1" applyBorder="1" applyAlignment="1" applyProtection="1">
      <alignment horizontal="center" vertical="center"/>
      <protection locked="0"/>
    </xf>
    <xf numFmtId="181" fontId="6" fillId="0" borderId="0" xfId="0" applyNumberFormat="1" applyFont="1" applyProtection="1">
      <alignment vertical="center"/>
    </xf>
    <xf numFmtId="0" fontId="6" fillId="0" borderId="0" xfId="0" applyFont="1" applyAlignment="1" applyProtection="1">
      <alignment vertical="center"/>
    </xf>
    <xf numFmtId="0" fontId="6" fillId="0" borderId="0" xfId="0" applyFont="1" applyBorder="1" applyAlignment="1" applyProtection="1">
      <alignment vertical="center"/>
    </xf>
    <xf numFmtId="0" fontId="16" fillId="0" borderId="40" xfId="0" applyFont="1" applyFill="1" applyBorder="1" applyAlignment="1" applyProtection="1">
      <alignment horizontal="center" vertical="center" wrapText="1"/>
      <protection locked="0"/>
    </xf>
    <xf numFmtId="0" fontId="6" fillId="0" borderId="6" xfId="0" applyFont="1" applyBorder="1" applyAlignment="1" applyProtection="1">
      <alignment vertical="center"/>
    </xf>
    <xf numFmtId="0" fontId="6" fillId="0" borderId="5" xfId="0" applyFont="1" applyBorder="1" applyProtection="1">
      <alignment vertical="center"/>
    </xf>
    <xf numFmtId="0" fontId="6" fillId="0" borderId="5" xfId="0" applyFont="1" applyFill="1" applyBorder="1" applyAlignment="1" applyProtection="1">
      <alignment vertical="center"/>
    </xf>
    <xf numFmtId="0" fontId="6" fillId="0" borderId="9" xfId="0" applyFont="1" applyFill="1" applyBorder="1" applyAlignment="1" applyProtection="1">
      <alignment vertical="center"/>
    </xf>
    <xf numFmtId="0" fontId="16" fillId="0" borderId="0"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191" fontId="5" fillId="0" borderId="0" xfId="0" applyNumberFormat="1" applyFont="1" applyBorder="1" applyAlignment="1" applyProtection="1">
      <alignment horizontal="right" vertical="center"/>
    </xf>
    <xf numFmtId="0" fontId="6" fillId="0" borderId="0" xfId="0" applyFont="1" applyAlignment="1" applyProtection="1">
      <alignment horizontal="left" vertical="center" wrapText="1"/>
    </xf>
    <xf numFmtId="0" fontId="6" fillId="0" borderId="5" xfId="0" applyFont="1" applyFill="1" applyBorder="1" applyAlignment="1" applyProtection="1">
      <alignment horizontal="center" vertical="center" wrapText="1"/>
    </xf>
    <xf numFmtId="0" fontId="4" fillId="0" borderId="0" xfId="0" applyFont="1" applyAlignment="1" applyProtection="1">
      <alignment horizontal="center" vertical="center"/>
    </xf>
    <xf numFmtId="176" fontId="5" fillId="0" borderId="0" xfId="1" applyNumberFormat="1" applyFont="1" applyBorder="1" applyAlignment="1" applyProtection="1">
      <alignment horizontal="center" vertical="center"/>
    </xf>
    <xf numFmtId="0" fontId="10" fillId="0" borderId="5" xfId="0" applyFont="1" applyBorder="1" applyAlignment="1" applyProtection="1">
      <alignment horizontal="center" vertical="center"/>
    </xf>
    <xf numFmtId="0" fontId="10" fillId="0" borderId="4" xfId="0" applyFont="1" applyBorder="1" applyAlignment="1" applyProtection="1">
      <alignment horizontal="center" vertical="center"/>
    </xf>
    <xf numFmtId="0" fontId="13" fillId="0" borderId="0" xfId="0" applyFont="1" applyFill="1" applyAlignment="1" applyProtection="1">
      <alignment horizontal="right" vertical="center"/>
    </xf>
    <xf numFmtId="0" fontId="5" fillId="0" borderId="2" xfId="0" applyFont="1" applyBorder="1" applyProtection="1">
      <alignment vertical="center"/>
    </xf>
    <xf numFmtId="0" fontId="5" fillId="0" borderId="6" xfId="0" applyFont="1" applyBorder="1" applyProtection="1">
      <alignment vertical="center"/>
    </xf>
    <xf numFmtId="0" fontId="5" fillId="0" borderId="10" xfId="0" applyFont="1" applyBorder="1" applyProtection="1">
      <alignment vertical="center"/>
    </xf>
    <xf numFmtId="0" fontId="5" fillId="0" borderId="4" xfId="0" applyFont="1" applyBorder="1" applyProtection="1">
      <alignment vertical="center"/>
    </xf>
    <xf numFmtId="0" fontId="5" fillId="0" borderId="7" xfId="0" applyFont="1" applyBorder="1" applyProtection="1">
      <alignment vertical="center"/>
    </xf>
    <xf numFmtId="0" fontId="5" fillId="0" borderId="12" xfId="0" applyFont="1" applyBorder="1" applyProtection="1">
      <alignment vertical="center"/>
    </xf>
    <xf numFmtId="0" fontId="5" fillId="0" borderId="2" xfId="0" applyFont="1" applyFill="1" applyBorder="1" applyProtection="1">
      <alignment vertical="center"/>
    </xf>
    <xf numFmtId="0" fontId="5" fillId="0" borderId="6" xfId="0" applyFont="1" applyFill="1" applyBorder="1" applyProtection="1">
      <alignment vertical="center"/>
    </xf>
    <xf numFmtId="0" fontId="5" fillId="0" borderId="4" xfId="0" applyFont="1" applyFill="1" applyBorder="1" applyProtection="1">
      <alignment vertical="center"/>
    </xf>
    <xf numFmtId="0" fontId="5" fillId="0" borderId="7" xfId="0" applyFont="1" applyFill="1" applyBorder="1" applyProtection="1">
      <alignment vertical="center"/>
    </xf>
    <xf numFmtId="0" fontId="11" fillId="0" borderId="0" xfId="0" applyFont="1" applyProtection="1">
      <alignment vertical="center"/>
    </xf>
    <xf numFmtId="0" fontId="19" fillId="0" borderId="0" xfId="0" applyNumberFormat="1" applyFont="1" applyProtection="1">
      <alignment vertical="center"/>
    </xf>
    <xf numFmtId="0" fontId="11" fillId="0" borderId="0" xfId="0" applyFont="1" applyFill="1" applyProtection="1">
      <alignment vertical="center"/>
    </xf>
    <xf numFmtId="0" fontId="6" fillId="0" borderId="0" xfId="0" applyFont="1" applyFill="1" applyBorder="1" applyAlignment="1" applyProtection="1">
      <alignment horizontal="center" vertical="center"/>
    </xf>
    <xf numFmtId="0" fontId="5" fillId="0" borderId="7" xfId="0" applyFont="1" applyBorder="1" applyAlignment="1" applyProtection="1">
      <alignment horizontal="center" vertical="center"/>
    </xf>
    <xf numFmtId="191" fontId="5" fillId="0" borderId="0" xfId="0" applyNumberFormat="1" applyFont="1" applyBorder="1" applyAlignment="1" applyProtection="1">
      <alignment horizontal="right" vertical="center"/>
    </xf>
    <xf numFmtId="176" fontId="5" fillId="0" borderId="0" xfId="1" applyNumberFormat="1" applyFont="1" applyBorder="1" applyAlignment="1" applyProtection="1">
      <alignment horizontal="center" vertical="center"/>
    </xf>
    <xf numFmtId="0" fontId="6" fillId="0" borderId="0" xfId="0" applyFont="1" applyAlignment="1" applyProtection="1">
      <alignment horizontal="left" vertical="center" wrapText="1"/>
    </xf>
    <xf numFmtId="0" fontId="4" fillId="0" borderId="0" xfId="0" applyFont="1" applyAlignment="1" applyProtection="1">
      <alignment horizontal="center" vertical="center"/>
    </xf>
    <xf numFmtId="0" fontId="6" fillId="0" borderId="5" xfId="0" applyFont="1" applyFill="1" applyBorder="1" applyAlignment="1" applyProtection="1">
      <alignment horizontal="center" vertical="center" wrapText="1"/>
    </xf>
    <xf numFmtId="0" fontId="10" fillId="0" borderId="4" xfId="0" applyFont="1" applyBorder="1" applyAlignment="1" applyProtection="1">
      <alignment horizontal="center" vertical="center"/>
    </xf>
    <xf numFmtId="0" fontId="10" fillId="0" borderId="5" xfId="0" applyFont="1" applyBorder="1" applyAlignment="1" applyProtection="1">
      <alignment horizontal="center" vertical="center"/>
    </xf>
    <xf numFmtId="0" fontId="9" fillId="0" borderId="0" xfId="0" applyFont="1" applyAlignment="1" applyProtection="1">
      <alignment vertical="center"/>
    </xf>
    <xf numFmtId="0" fontId="16" fillId="0" borderId="7" xfId="0" applyFont="1" applyFill="1" applyBorder="1" applyAlignment="1" applyProtection="1">
      <alignment horizontal="center" vertical="center"/>
    </xf>
    <xf numFmtId="0" fontId="6" fillId="0" borderId="15" xfId="0" applyFont="1" applyBorder="1" applyProtection="1">
      <alignment vertical="center"/>
    </xf>
    <xf numFmtId="0" fontId="6" fillId="0" borderId="16" xfId="0" applyFont="1" applyBorder="1" applyProtection="1">
      <alignment vertical="center"/>
    </xf>
    <xf numFmtId="0" fontId="3" fillId="0" borderId="72" xfId="0" applyFont="1" applyBorder="1" applyProtection="1">
      <alignment vertical="center"/>
    </xf>
    <xf numFmtId="0" fontId="6" fillId="0" borderId="72" xfId="0" applyFont="1" applyFill="1" applyBorder="1" applyAlignment="1" applyProtection="1">
      <alignment vertical="center"/>
    </xf>
    <xf numFmtId="0" fontId="6" fillId="0" borderId="30" xfId="0" applyFont="1" applyFill="1" applyBorder="1" applyAlignment="1" applyProtection="1">
      <alignment vertical="center"/>
    </xf>
    <xf numFmtId="0" fontId="6" fillId="0" borderId="14" xfId="0" applyFont="1" applyBorder="1" applyAlignment="1" applyProtection="1">
      <alignment vertical="center"/>
    </xf>
    <xf numFmtId="0" fontId="6" fillId="0" borderId="67" xfId="0" applyFont="1" applyBorder="1" applyAlignment="1" applyProtection="1">
      <alignment vertical="center"/>
    </xf>
    <xf numFmtId="0" fontId="6" fillId="0" borderId="68" xfId="0" applyFont="1" applyBorder="1" applyAlignment="1" applyProtection="1">
      <alignment vertical="center"/>
    </xf>
    <xf numFmtId="0" fontId="12" fillId="0" borderId="0" xfId="0" applyFont="1" applyProtection="1">
      <alignment vertical="center"/>
    </xf>
    <xf numFmtId="0" fontId="13" fillId="0" borderId="0" xfId="0" applyNumberFormat="1" applyFont="1" applyProtection="1">
      <alignment vertical="center"/>
    </xf>
    <xf numFmtId="0" fontId="5" fillId="0" borderId="3" xfId="0" applyFont="1" applyBorder="1" applyProtection="1">
      <alignment vertical="center"/>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0" fontId="11" fillId="0" borderId="0" xfId="0" applyFont="1" applyFill="1" applyBorder="1" applyAlignment="1" applyProtection="1">
      <alignment horizontal="center" vertical="center"/>
    </xf>
    <xf numFmtId="0" fontId="19" fillId="0" borderId="0" xfId="0" applyFont="1" applyFill="1" applyBorder="1" applyProtection="1">
      <alignment vertical="center"/>
    </xf>
    <xf numFmtId="0" fontId="11" fillId="0" borderId="0" xfId="0" applyFont="1" applyFill="1" applyBorder="1" applyProtection="1">
      <alignment vertical="center"/>
    </xf>
    <xf numFmtId="0" fontId="19" fillId="0" borderId="0" xfId="0" applyNumberFormat="1" applyFont="1" applyFill="1" applyBorder="1" applyProtection="1">
      <alignment vertical="center"/>
    </xf>
    <xf numFmtId="0" fontId="12" fillId="0" borderId="0" xfId="0" applyFont="1" applyBorder="1" applyProtection="1">
      <alignment vertical="center"/>
    </xf>
    <xf numFmtId="0" fontId="13" fillId="0" borderId="0" xfId="0" applyNumberFormat="1" applyFont="1" applyBorder="1" applyProtection="1">
      <alignment vertical="center"/>
    </xf>
    <xf numFmtId="0" fontId="5" fillId="0" borderId="11" xfId="0" applyFont="1" applyBorder="1" applyProtection="1">
      <alignment vertical="center"/>
    </xf>
    <xf numFmtId="0" fontId="5" fillId="0" borderId="0" xfId="0" applyFont="1" applyBorder="1" applyAlignment="1" applyProtection="1">
      <alignment vertical="center" wrapText="1"/>
    </xf>
    <xf numFmtId="0" fontId="10" fillId="0" borderId="7" xfId="0" applyFont="1" applyBorder="1" applyAlignment="1" applyProtection="1">
      <alignment horizontal="left" vertical="center"/>
    </xf>
    <xf numFmtId="0" fontId="19" fillId="0" borderId="0" xfId="0" applyFont="1" applyBorder="1" applyProtection="1">
      <alignment vertical="center"/>
    </xf>
    <xf numFmtId="0" fontId="11" fillId="0" borderId="0" xfId="0" applyFont="1" applyBorder="1" applyProtection="1">
      <alignment vertical="center"/>
    </xf>
    <xf numFmtId="0" fontId="19" fillId="0" borderId="0" xfId="0" applyNumberFormat="1" applyFont="1" applyBorder="1" applyProtection="1">
      <alignment vertical="center"/>
    </xf>
    <xf numFmtId="0" fontId="14" fillId="0" borderId="20" xfId="0" applyFont="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10" fillId="0" borderId="5" xfId="0" applyFont="1" applyFill="1" applyBorder="1" applyAlignment="1" applyProtection="1">
      <alignment horizontal="center" vertical="center"/>
    </xf>
    <xf numFmtId="0" fontId="5" fillId="0" borderId="7" xfId="0" applyFont="1" applyBorder="1" applyAlignment="1" applyProtection="1">
      <alignment horizontal="center" vertical="center"/>
    </xf>
    <xf numFmtId="0" fontId="4" fillId="0" borderId="0" xfId="0" applyFont="1" applyBorder="1" applyAlignment="1" applyProtection="1">
      <alignment horizontal="center" vertical="center"/>
    </xf>
    <xf numFmtId="0" fontId="13" fillId="0" borderId="0" xfId="0" applyFont="1" applyBorder="1" applyAlignment="1" applyProtection="1">
      <alignment wrapText="1"/>
    </xf>
    <xf numFmtId="0" fontId="13" fillId="0" borderId="0" xfId="0" applyFont="1" applyBorder="1" applyAlignment="1" applyProtection="1">
      <alignment vertical="top" wrapText="1"/>
    </xf>
    <xf numFmtId="0" fontId="13" fillId="0" borderId="3" xfId="0" applyFont="1" applyBorder="1" applyAlignment="1" applyProtection="1"/>
    <xf numFmtId="0" fontId="13" fillId="0" borderId="3" xfId="0" applyFont="1" applyBorder="1" applyAlignment="1" applyProtection="1">
      <alignment vertical="top"/>
    </xf>
    <xf numFmtId="0" fontId="11" fillId="2" borderId="5" xfId="0" applyNumberFormat="1" applyFont="1" applyFill="1" applyBorder="1" applyAlignment="1" applyProtection="1">
      <alignment vertical="center"/>
    </xf>
    <xf numFmtId="0" fontId="11" fillId="2" borderId="5" xfId="0" applyFont="1" applyFill="1" applyBorder="1" applyAlignment="1" applyProtection="1">
      <alignment vertical="center"/>
    </xf>
    <xf numFmtId="0" fontId="11" fillId="2" borderId="9" xfId="0" applyFont="1" applyFill="1" applyBorder="1" applyAlignment="1" applyProtection="1">
      <alignment vertical="center"/>
    </xf>
    <xf numFmtId="0" fontId="13" fillId="0" borderId="0" xfId="0" applyFont="1" applyProtection="1">
      <alignment vertical="center"/>
    </xf>
    <xf numFmtId="0" fontId="12" fillId="0" borderId="0" xfId="0" applyFont="1" applyAlignment="1" applyProtection="1">
      <alignment horizontal="center" vertical="center"/>
    </xf>
    <xf numFmtId="0" fontId="22" fillId="0" borderId="0" xfId="0" applyFont="1" applyProtection="1">
      <alignment vertical="center"/>
    </xf>
    <xf numFmtId="0" fontId="12" fillId="0" borderId="0" xfId="0" applyFont="1" applyFill="1" applyBorder="1" applyProtection="1">
      <alignment vertical="center"/>
    </xf>
    <xf numFmtId="0" fontId="13" fillId="0" borderId="0" xfId="0" applyFont="1" applyFill="1" applyBorder="1" applyProtection="1">
      <alignment vertical="center"/>
    </xf>
    <xf numFmtId="0" fontId="12" fillId="0" borderId="0" xfId="0" applyFont="1" applyBorder="1" applyAlignment="1" applyProtection="1">
      <alignment horizontal="center" vertical="center"/>
    </xf>
    <xf numFmtId="0" fontId="13" fillId="0" borderId="0" xfId="0" applyFont="1" applyBorder="1" applyProtection="1">
      <alignment vertical="center"/>
    </xf>
    <xf numFmtId="0" fontId="6" fillId="0" borderId="67" xfId="0" applyFont="1" applyBorder="1" applyProtection="1">
      <alignment vertical="center"/>
    </xf>
    <xf numFmtId="0" fontId="6" fillId="0" borderId="75" xfId="0" applyFont="1" applyBorder="1" applyProtection="1">
      <alignment vertical="center"/>
    </xf>
    <xf numFmtId="0" fontId="14" fillId="0" borderId="73" xfId="0" applyFont="1" applyBorder="1" applyAlignment="1" applyProtection="1">
      <alignment vertical="top" wrapText="1"/>
    </xf>
    <xf numFmtId="0" fontId="14" fillId="0" borderId="74" xfId="0" applyFont="1" applyBorder="1" applyAlignment="1" applyProtection="1">
      <alignment vertical="top" wrapText="1"/>
    </xf>
    <xf numFmtId="0" fontId="23" fillId="0" borderId="0" xfId="0" applyFont="1" applyProtection="1">
      <alignment vertical="center"/>
    </xf>
    <xf numFmtId="202" fontId="6" fillId="0" borderId="0" xfId="0" applyNumberFormat="1" applyFont="1" applyProtection="1">
      <alignment vertical="center"/>
    </xf>
    <xf numFmtId="0" fontId="6" fillId="0" borderId="0" xfId="0" applyNumberFormat="1" applyFont="1" applyProtection="1">
      <alignment vertical="center"/>
    </xf>
    <xf numFmtId="0" fontId="24" fillId="0" borderId="0" xfId="0" applyFont="1" applyAlignment="1" applyProtection="1">
      <alignment horizontal="center" vertical="center"/>
    </xf>
    <xf numFmtId="0" fontId="12" fillId="0" borderId="0" xfId="0" applyFont="1" applyFill="1" applyProtection="1">
      <alignment vertical="center"/>
    </xf>
    <xf numFmtId="0" fontId="13" fillId="0" borderId="0" xfId="0" applyFont="1" applyFill="1" applyProtection="1">
      <alignment vertical="center"/>
    </xf>
    <xf numFmtId="0" fontId="13" fillId="0" borderId="0" xfId="0" applyNumberFormat="1" applyFont="1" applyFill="1" applyProtection="1">
      <alignment vertical="center"/>
    </xf>
    <xf numFmtId="0" fontId="25" fillId="0" borderId="0" xfId="0" applyFont="1" applyAlignment="1" applyProtection="1">
      <alignment horizontal="center" vertical="center"/>
    </xf>
    <xf numFmtId="0" fontId="26" fillId="0" borderId="0" xfId="0" applyFont="1" applyAlignment="1" applyProtection="1">
      <alignment vertical="top"/>
    </xf>
    <xf numFmtId="0" fontId="27" fillId="0" borderId="0" xfId="0" applyFont="1" applyAlignment="1" applyProtection="1">
      <alignment vertical="center"/>
    </xf>
    <xf numFmtId="0" fontId="8" fillId="0" borderId="0" xfId="0" applyFont="1" applyAlignment="1" applyProtection="1">
      <alignment vertical="center"/>
    </xf>
    <xf numFmtId="0" fontId="8" fillId="0" borderId="0" xfId="0" applyFont="1" applyAlignment="1" applyProtection="1">
      <alignment vertical="top"/>
    </xf>
    <xf numFmtId="0" fontId="13" fillId="0" borderId="0" xfId="0" applyFont="1" applyAlignment="1">
      <alignment horizontal="right" vertical="center"/>
    </xf>
    <xf numFmtId="0" fontId="13" fillId="0" borderId="0" xfId="0" applyFont="1" applyAlignment="1" applyProtection="1">
      <alignment horizontal="left" vertic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vertical="center"/>
    </xf>
    <xf numFmtId="0" fontId="6" fillId="0" borderId="0" xfId="0" applyFont="1" applyAlignment="1" applyProtection="1">
      <alignment horizontal="right" vertical="center"/>
    </xf>
    <xf numFmtId="176" fontId="5" fillId="0" borderId="0" xfId="1" applyNumberFormat="1" applyFont="1" applyBorder="1" applyAlignment="1" applyProtection="1">
      <alignment horizontal="center" vertical="center"/>
    </xf>
    <xf numFmtId="0" fontId="3" fillId="0" borderId="0" xfId="0" applyFont="1">
      <alignment vertical="center"/>
    </xf>
    <xf numFmtId="0" fontId="6" fillId="0" borderId="0" xfId="0" applyFont="1">
      <alignment vertical="center"/>
    </xf>
    <xf numFmtId="0" fontId="4" fillId="0" borderId="0" xfId="0" applyFont="1" applyAlignment="1">
      <alignment horizontal="center" vertical="center"/>
    </xf>
    <xf numFmtId="0" fontId="5" fillId="0" borderId="2" xfId="0" applyFont="1" applyBorder="1">
      <alignment vertical="center"/>
    </xf>
    <xf numFmtId="0" fontId="5" fillId="0" borderId="10" xfId="0" applyFont="1" applyBorder="1">
      <alignment vertical="center"/>
    </xf>
    <xf numFmtId="0" fontId="5" fillId="0" borderId="0" xfId="0" applyFont="1">
      <alignment vertical="center"/>
    </xf>
    <xf numFmtId="0" fontId="5" fillId="0" borderId="3" xfId="0" applyFont="1" applyBorder="1">
      <alignment vertical="center"/>
    </xf>
    <xf numFmtId="0" fontId="5" fillId="0" borderId="0" xfId="0" applyFont="1" applyAlignment="1">
      <alignment horizontal="left" vertical="center"/>
    </xf>
    <xf numFmtId="0" fontId="5" fillId="0" borderId="0" xfId="0" applyFont="1" applyAlignment="1">
      <alignment horizontal="center" vertical="center"/>
    </xf>
    <xf numFmtId="0" fontId="19" fillId="0" borderId="0" xfId="0" applyFont="1">
      <alignment vertical="center"/>
    </xf>
    <xf numFmtId="0" fontId="11" fillId="0" borderId="0" xfId="0" applyFont="1">
      <alignment vertical="center"/>
    </xf>
    <xf numFmtId="0" fontId="5" fillId="0" borderId="11" xfId="0" applyFont="1" applyBorder="1">
      <alignment vertical="center"/>
    </xf>
    <xf numFmtId="0" fontId="5" fillId="0" borderId="0" xfId="0" applyFont="1" applyAlignment="1">
      <alignment vertical="center" wrapText="1"/>
    </xf>
    <xf numFmtId="0" fontId="5" fillId="0" borderId="4" xfId="0" applyFont="1" applyBorder="1">
      <alignment vertical="center"/>
    </xf>
    <xf numFmtId="0" fontId="10" fillId="0" borderId="7" xfId="0" applyFont="1" applyBorder="1" applyAlignment="1">
      <alignment horizontal="left" vertical="center"/>
    </xf>
    <xf numFmtId="0" fontId="5" fillId="0" borderId="7" xfId="0" applyFont="1" applyBorder="1" applyAlignment="1">
      <alignment horizontal="center" vertical="center"/>
    </xf>
    <xf numFmtId="0" fontId="5" fillId="0" borderId="12" xfId="0" applyFont="1" applyBorder="1">
      <alignment vertical="center"/>
    </xf>
    <xf numFmtId="0" fontId="12" fillId="0" borderId="0" xfId="0" applyFont="1">
      <alignment vertical="center"/>
    </xf>
    <xf numFmtId="0" fontId="13" fillId="0" borderId="0" xfId="0" applyFont="1">
      <alignment vertical="center"/>
    </xf>
    <xf numFmtId="0" fontId="12" fillId="0" borderId="0" xfId="0" applyFont="1" applyAlignment="1">
      <alignment horizontal="center" vertical="center"/>
    </xf>
    <xf numFmtId="0" fontId="3" fillId="3" borderId="19" xfId="0" applyFont="1" applyFill="1" applyBorder="1">
      <alignment vertical="center"/>
    </xf>
    <xf numFmtId="0" fontId="27" fillId="0" borderId="0" xfId="0" applyFont="1">
      <alignment vertical="center"/>
    </xf>
    <xf numFmtId="0" fontId="22" fillId="0" borderId="0" xfId="0" applyFont="1">
      <alignment vertical="center"/>
    </xf>
    <xf numFmtId="0" fontId="23" fillId="0" borderId="0" xfId="0" applyFont="1">
      <alignment vertical="center"/>
    </xf>
    <xf numFmtId="0" fontId="8" fillId="0" borderId="0" xfId="0" applyFont="1">
      <alignment vertical="center"/>
    </xf>
    <xf numFmtId="0" fontId="3" fillId="4" borderId="19" xfId="0" applyFont="1" applyFill="1" applyBorder="1">
      <alignment vertical="center"/>
    </xf>
    <xf numFmtId="0" fontId="8" fillId="0" borderId="0" xfId="0" applyFont="1" applyAlignment="1">
      <alignment vertical="top"/>
    </xf>
    <xf numFmtId="0" fontId="24" fillId="0" borderId="0" xfId="0" applyFont="1" applyAlignment="1">
      <alignment horizontal="center" vertical="center"/>
    </xf>
    <xf numFmtId="0" fontId="25" fillId="0" borderId="0" xfId="0" applyFont="1" applyAlignment="1">
      <alignment horizontal="center" vertical="center"/>
    </xf>
    <xf numFmtId="0" fontId="26" fillId="0" borderId="0" xfId="0" applyFont="1" applyAlignment="1">
      <alignment vertical="top"/>
    </xf>
    <xf numFmtId="0" fontId="10" fillId="0" borderId="2" xfId="0" applyFont="1" applyBorder="1">
      <alignment vertical="center"/>
    </xf>
    <xf numFmtId="0" fontId="5" fillId="0" borderId="6" xfId="0" applyFont="1" applyBorder="1" applyAlignment="1">
      <alignment horizontal="right" vertical="center"/>
    </xf>
    <xf numFmtId="0" fontId="10" fillId="0" borderId="4" xfId="0" applyFont="1" applyBorder="1" applyAlignment="1">
      <alignment horizontal="center" vertical="center"/>
    </xf>
    <xf numFmtId="0" fontId="5" fillId="0" borderId="7" xfId="0" applyFont="1" applyBorder="1" applyAlignment="1">
      <alignment horizontal="right" vertical="center"/>
    </xf>
    <xf numFmtId="0" fontId="10" fillId="0" borderId="5" xfId="0" applyFont="1" applyBorder="1" applyAlignment="1">
      <alignment horizontal="center" vertical="center"/>
    </xf>
    <xf numFmtId="0" fontId="11" fillId="2" borderId="5" xfId="0" applyFont="1" applyFill="1" applyBorder="1">
      <alignment vertical="center"/>
    </xf>
    <xf numFmtId="0" fontId="11" fillId="2" borderId="9" xfId="0" applyFont="1" applyFill="1" applyBorder="1">
      <alignment vertical="center"/>
    </xf>
    <xf numFmtId="0" fontId="13" fillId="0" borderId="0" xfId="0" applyFont="1" applyAlignment="1">
      <alignment horizontal="left" vertical="center"/>
    </xf>
    <xf numFmtId="0" fontId="12" fillId="0" borderId="0" xfId="0" applyFont="1" applyAlignment="1">
      <alignment horizontal="right" vertical="center"/>
    </xf>
    <xf numFmtId="0" fontId="14" fillId="0" borderId="20" xfId="0" applyFont="1" applyBorder="1" applyAlignment="1">
      <alignment horizontal="center" vertical="center"/>
    </xf>
    <xf numFmtId="0" fontId="4" fillId="0" borderId="0" xfId="0" applyFont="1">
      <alignment vertical="center"/>
    </xf>
    <xf numFmtId="0" fontId="6" fillId="0" borderId="0" xfId="0" applyFont="1" applyAlignment="1">
      <alignment horizontal="right" vertical="center"/>
    </xf>
    <xf numFmtId="0" fontId="3" fillId="0" borderId="1" xfId="0" applyFont="1" applyBorder="1">
      <alignment vertical="center"/>
    </xf>
    <xf numFmtId="0" fontId="3" fillId="0" borderId="5" xfId="0" applyFont="1" applyBorder="1">
      <alignment vertical="center"/>
    </xf>
    <xf numFmtId="0" fontId="3" fillId="0" borderId="9" xfId="0" applyFont="1" applyBorder="1">
      <alignment vertical="center"/>
    </xf>
    <xf numFmtId="0" fontId="7" fillId="0" borderId="0" xfId="0" applyFont="1">
      <alignment vertical="center"/>
    </xf>
    <xf numFmtId="0" fontId="15" fillId="0" borderId="0" xfId="0" applyFont="1">
      <alignment vertical="center"/>
    </xf>
    <xf numFmtId="0" fontId="9" fillId="0" borderId="0" xfId="0" applyFont="1">
      <alignment vertical="center"/>
    </xf>
    <xf numFmtId="0" fontId="6" fillId="0" borderId="40" xfId="0" applyFont="1" applyBorder="1" applyAlignment="1">
      <alignment horizontal="center" vertical="center"/>
    </xf>
    <xf numFmtId="0" fontId="16" fillId="0" borderId="11" xfId="0" applyFont="1" applyBorder="1" applyAlignment="1" applyProtection="1">
      <alignment horizontal="center" vertical="center" wrapText="1"/>
      <protection locked="0"/>
    </xf>
    <xf numFmtId="0" fontId="16" fillId="0" borderId="40" xfId="0" applyFont="1" applyBorder="1" applyAlignment="1" applyProtection="1">
      <alignment horizontal="center"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6" fillId="0" borderId="4" xfId="0" applyFont="1" applyBorder="1">
      <alignment vertical="center"/>
    </xf>
    <xf numFmtId="0" fontId="6" fillId="0" borderId="7" xfId="0" applyFont="1" applyBorder="1">
      <alignment vertical="center"/>
    </xf>
    <xf numFmtId="0" fontId="6" fillId="0" borderId="12" xfId="0" applyFont="1" applyBorder="1">
      <alignment vertical="center"/>
    </xf>
    <xf numFmtId="0" fontId="16" fillId="0" borderId="6" xfId="0" applyFont="1" applyBorder="1" applyAlignment="1">
      <alignment horizontal="center" vertical="center" wrapText="1"/>
    </xf>
    <xf numFmtId="0" fontId="16" fillId="0" borderId="0" xfId="0" applyFont="1" applyAlignment="1">
      <alignment horizontal="center" vertical="center" wrapText="1"/>
    </xf>
    <xf numFmtId="0" fontId="5" fillId="0" borderId="6" xfId="0" applyFont="1" applyBorder="1">
      <alignment vertical="center"/>
    </xf>
    <xf numFmtId="0" fontId="16" fillId="0" borderId="7" xfId="0" applyFont="1" applyBorder="1" applyAlignment="1">
      <alignment horizontal="center" vertical="center" wrapText="1"/>
    </xf>
    <xf numFmtId="0" fontId="5" fillId="0" borderId="7" xfId="0" applyFont="1" applyBorder="1">
      <alignment vertical="center"/>
    </xf>
    <xf numFmtId="0" fontId="15" fillId="0" borderId="0" xfId="0" quotePrefix="1" applyFont="1">
      <alignment vertical="center"/>
    </xf>
    <xf numFmtId="0" fontId="6"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vertical="center" wrapText="1"/>
    </xf>
    <xf numFmtId="0" fontId="6" fillId="0" borderId="5" xfId="0" applyFont="1" applyBorder="1" applyAlignment="1">
      <alignment horizontal="center" vertical="center" wrapText="1"/>
    </xf>
    <xf numFmtId="0" fontId="5" fillId="0" borderId="0" xfId="0" applyFont="1" applyAlignment="1" applyProtection="1">
      <alignment horizontal="center" vertical="center"/>
      <protection locked="0"/>
    </xf>
    <xf numFmtId="0" fontId="6" fillId="0" borderId="5" xfId="0" applyFont="1" applyBorder="1" applyAlignment="1">
      <alignment vertical="center" wrapText="1"/>
    </xf>
    <xf numFmtId="178" fontId="5" fillId="3" borderId="6" xfId="0" applyNumberFormat="1" applyFont="1" applyFill="1" applyBorder="1" applyAlignment="1">
      <alignment vertical="center" wrapText="1"/>
    </xf>
    <xf numFmtId="178" fontId="5" fillId="3" borderId="0" xfId="0" applyNumberFormat="1" applyFont="1" applyFill="1" applyAlignment="1">
      <alignment vertical="center" wrapText="1"/>
    </xf>
    <xf numFmtId="178" fontId="5" fillId="3" borderId="7" xfId="0" applyNumberFormat="1" applyFont="1" applyFill="1" applyBorder="1" applyAlignment="1">
      <alignment vertical="center" wrapText="1"/>
    </xf>
    <xf numFmtId="0" fontId="6" fillId="0" borderId="6" xfId="0" applyFont="1" applyBorder="1">
      <alignment vertical="center"/>
    </xf>
    <xf numFmtId="178" fontId="5" fillId="4" borderId="6" xfId="0" applyNumberFormat="1" applyFont="1" applyFill="1" applyBorder="1" applyAlignment="1">
      <alignment vertical="center" wrapText="1"/>
    </xf>
    <xf numFmtId="178" fontId="5" fillId="4" borderId="0" xfId="0" applyNumberFormat="1" applyFont="1" applyFill="1" applyAlignment="1">
      <alignment vertical="center" wrapText="1"/>
    </xf>
    <xf numFmtId="178" fontId="5" fillId="4" borderId="7" xfId="0" applyNumberFormat="1" applyFont="1" applyFill="1" applyBorder="1" applyAlignment="1">
      <alignment vertical="center" wrapText="1"/>
    </xf>
    <xf numFmtId="0" fontId="3" fillId="0" borderId="6" xfId="0" applyFont="1" applyBorder="1">
      <alignment vertical="center"/>
    </xf>
    <xf numFmtId="181" fontId="5" fillId="0" borderId="0" xfId="0" applyNumberFormat="1" applyFont="1" applyAlignment="1">
      <alignment horizontal="right" vertical="center"/>
    </xf>
    <xf numFmtId="0" fontId="16" fillId="0" borderId="0" xfId="0" applyFont="1" applyAlignment="1">
      <alignment horizontal="center" vertical="center"/>
    </xf>
    <xf numFmtId="0" fontId="16" fillId="0" borderId="7" xfId="0" applyFont="1" applyBorder="1" applyAlignment="1">
      <alignment horizontal="center" vertical="center"/>
    </xf>
    <xf numFmtId="0" fontId="6" fillId="0" borderId="0" xfId="0" applyFont="1" applyAlignment="1" applyProtection="1">
      <alignment horizontal="center" vertical="center"/>
      <protection locked="0"/>
    </xf>
    <xf numFmtId="191" fontId="5" fillId="0" borderId="0" xfId="0" applyNumberFormat="1" applyFont="1" applyAlignment="1">
      <alignment horizontal="right" vertical="center"/>
    </xf>
    <xf numFmtId="0" fontId="10" fillId="0" borderId="0" xfId="0" applyFont="1" applyAlignment="1">
      <alignment horizontal="left" vertical="center"/>
    </xf>
    <xf numFmtId="0" fontId="3" fillId="0" borderId="0" xfId="0" quotePrefix="1" applyFont="1">
      <alignment vertical="center"/>
    </xf>
    <xf numFmtId="178" fontId="5" fillId="0" borderId="0" xfId="0" applyNumberFormat="1" applyFont="1" applyAlignment="1">
      <alignment horizontal="center" vertical="center"/>
    </xf>
    <xf numFmtId="0" fontId="13" fillId="0" borderId="3" xfId="0" applyFont="1" applyBorder="1" applyAlignment="1"/>
    <xf numFmtId="0" fontId="13" fillId="0" borderId="0" xfId="0" applyFont="1" applyAlignment="1">
      <alignment wrapText="1"/>
    </xf>
    <xf numFmtId="0" fontId="13" fillId="0" borderId="3" xfId="0" applyFont="1" applyBorder="1" applyAlignment="1">
      <alignment vertical="top"/>
    </xf>
    <xf numFmtId="0" fontId="13" fillId="0" borderId="0" xfId="0" applyFont="1" applyAlignment="1">
      <alignment vertical="top" wrapText="1"/>
    </xf>
    <xf numFmtId="0" fontId="3" fillId="0" borderId="20" xfId="0" applyFont="1" applyBorder="1">
      <alignment vertical="center"/>
    </xf>
    <xf numFmtId="0" fontId="5" fillId="0" borderId="0" xfId="0" applyFont="1" applyAlignment="1">
      <alignment horizontal="right" vertical="center"/>
    </xf>
    <xf numFmtId="0" fontId="14" fillId="0" borderId="73" xfId="0" applyFont="1" applyBorder="1" applyAlignment="1">
      <alignment vertical="top" wrapText="1"/>
    </xf>
    <xf numFmtId="0" fontId="14" fillId="0" borderId="74" xfId="0" applyFont="1" applyBorder="1" applyAlignment="1">
      <alignment vertical="top" wrapText="1"/>
    </xf>
    <xf numFmtId="0" fontId="6" fillId="0" borderId="75" xfId="0" applyFont="1" applyBorder="1">
      <alignment vertical="center"/>
    </xf>
    <xf numFmtId="181" fontId="6" fillId="0" borderId="0" xfId="0" applyNumberFormat="1" applyFont="1">
      <alignment vertical="center"/>
    </xf>
    <xf numFmtId="0" fontId="6" fillId="0" borderId="14" xfId="0" applyFont="1" applyBorder="1">
      <alignment vertical="center"/>
    </xf>
    <xf numFmtId="0" fontId="6" fillId="0" borderId="67" xfId="0" applyFont="1" applyBorder="1">
      <alignment vertical="center"/>
    </xf>
    <xf numFmtId="0" fontId="6" fillId="0" borderId="68" xfId="0" applyFont="1" applyBorder="1">
      <alignment vertical="center"/>
    </xf>
    <xf numFmtId="0" fontId="6" fillId="0" borderId="15" xfId="0" applyFont="1" applyBorder="1">
      <alignment vertical="center"/>
    </xf>
    <xf numFmtId="0" fontId="6" fillId="0" borderId="5" xfId="0" applyFont="1" applyBorder="1">
      <alignment vertical="center"/>
    </xf>
    <xf numFmtId="0" fontId="6" fillId="0" borderId="5" xfId="0" applyFont="1" applyBorder="1" applyAlignment="1">
      <alignment horizontal="center" vertical="center"/>
    </xf>
    <xf numFmtId="0" fontId="6" fillId="0" borderId="9" xfId="0" applyFont="1" applyBorder="1">
      <alignment vertical="center"/>
    </xf>
    <xf numFmtId="0" fontId="6" fillId="0" borderId="16" xfId="0" applyFont="1" applyBorder="1">
      <alignment vertical="center"/>
    </xf>
    <xf numFmtId="0" fontId="3" fillId="0" borderId="72" xfId="0" applyFont="1" applyBorder="1">
      <alignment vertical="center"/>
    </xf>
    <xf numFmtId="0" fontId="6" fillId="0" borderId="72" xfId="0" applyFont="1" applyBorder="1">
      <alignment vertical="center"/>
    </xf>
    <xf numFmtId="0" fontId="6" fillId="0" borderId="30" xfId="0" applyFont="1" applyBorder="1">
      <alignment vertical="center"/>
    </xf>
    <xf numFmtId="0" fontId="11" fillId="0" borderId="0" xfId="0" applyFont="1" applyAlignment="1">
      <alignment horizontal="center" vertical="center"/>
    </xf>
    <xf numFmtId="202" fontId="6" fillId="0" borderId="0" xfId="0" applyNumberFormat="1" applyFont="1">
      <alignment vertical="center"/>
    </xf>
    <xf numFmtId="0" fontId="4" fillId="0" borderId="6" xfId="0" applyFont="1" applyBorder="1" applyAlignment="1" applyProtection="1">
      <alignment horizontal="center" vertical="center"/>
    </xf>
    <xf numFmtId="2" fontId="5" fillId="0" borderId="24" xfId="0" applyNumberFormat="1" applyFont="1" applyBorder="1" applyAlignment="1" applyProtection="1">
      <alignment horizontal="center" vertical="center"/>
    </xf>
    <xf numFmtId="2" fontId="5" fillId="0" borderId="67" xfId="0" applyNumberFormat="1" applyFont="1" applyBorder="1" applyAlignment="1" applyProtection="1">
      <alignment horizontal="center" vertical="center"/>
    </xf>
    <xf numFmtId="2" fontId="5" fillId="0" borderId="26" xfId="0" applyNumberFormat="1" applyFont="1" applyBorder="1" applyAlignment="1" applyProtection="1">
      <alignment horizontal="center" vertical="center"/>
    </xf>
    <xf numFmtId="2" fontId="5" fillId="0" borderId="1" xfId="0" applyNumberFormat="1" applyFont="1" applyBorder="1" applyAlignment="1" applyProtection="1">
      <alignment horizontal="center" vertical="center"/>
    </xf>
    <xf numFmtId="2" fontId="5" fillId="0" borderId="5" xfId="0" applyNumberFormat="1" applyFont="1" applyBorder="1" applyAlignment="1" applyProtection="1">
      <alignment horizontal="center" vertical="center"/>
    </xf>
    <xf numFmtId="2" fontId="5" fillId="0" borderId="27" xfId="0" applyNumberFormat="1" applyFont="1" applyBorder="1" applyAlignment="1" applyProtection="1">
      <alignment horizontal="center" vertical="center"/>
    </xf>
    <xf numFmtId="2" fontId="5" fillId="0" borderId="25" xfId="0" applyNumberFormat="1" applyFont="1" applyBorder="1" applyAlignment="1" applyProtection="1">
      <alignment horizontal="center" vertical="center"/>
    </xf>
    <xf numFmtId="2" fontId="5" fillId="0" borderId="72" xfId="0" applyNumberFormat="1" applyFont="1" applyBorder="1" applyAlignment="1" applyProtection="1">
      <alignment horizontal="center" vertical="center"/>
    </xf>
    <xf numFmtId="2" fontId="5" fillId="0" borderId="28" xfId="0" applyNumberFormat="1" applyFont="1" applyBorder="1" applyAlignment="1" applyProtection="1">
      <alignment horizontal="center" vertical="center"/>
    </xf>
    <xf numFmtId="181" fontId="5" fillId="0" borderId="25" xfId="0" applyNumberFormat="1" applyFont="1" applyFill="1" applyBorder="1" applyAlignment="1" applyProtection="1">
      <alignment horizontal="right" vertical="center"/>
    </xf>
    <xf numFmtId="181" fontId="5" fillId="0" borderId="30" xfId="0" applyNumberFormat="1" applyFont="1" applyFill="1" applyBorder="1" applyAlignment="1" applyProtection="1">
      <alignment horizontal="right" vertical="center"/>
    </xf>
    <xf numFmtId="191" fontId="5" fillId="0" borderId="73" xfId="0" applyNumberFormat="1" applyFont="1" applyBorder="1" applyAlignment="1" applyProtection="1">
      <alignment horizontal="center" vertical="center"/>
    </xf>
    <xf numFmtId="191" fontId="5" fillId="0" borderId="75" xfId="0" applyNumberFormat="1" applyFont="1" applyBorder="1" applyAlignment="1" applyProtection="1">
      <alignment horizontal="center" vertical="center"/>
    </xf>
    <xf numFmtId="191" fontId="5" fillId="0" borderId="76" xfId="0" applyNumberFormat="1" applyFont="1" applyBorder="1" applyAlignment="1" applyProtection="1">
      <alignment horizontal="center" vertical="center"/>
    </xf>
    <xf numFmtId="178" fontId="6" fillId="4" borderId="79" xfId="0" applyNumberFormat="1" applyFont="1" applyFill="1" applyBorder="1" applyAlignment="1" applyProtection="1">
      <alignment horizontal="center" vertical="center"/>
    </xf>
    <xf numFmtId="178" fontId="6" fillId="4" borderId="17" xfId="0" applyNumberFormat="1" applyFont="1" applyFill="1" applyBorder="1" applyAlignment="1" applyProtection="1">
      <alignment horizontal="center" vertical="center"/>
    </xf>
    <xf numFmtId="178" fontId="6" fillId="4" borderId="70" xfId="0" applyNumberFormat="1" applyFont="1" applyFill="1" applyBorder="1" applyAlignment="1" applyProtection="1">
      <alignment horizontal="center" vertical="center"/>
    </xf>
    <xf numFmtId="181" fontId="5" fillId="4" borderId="24" xfId="0" applyNumberFormat="1" applyFont="1" applyFill="1" applyBorder="1" applyAlignment="1" applyProtection="1">
      <alignment horizontal="right" vertical="center"/>
    </xf>
    <xf numFmtId="181" fontId="5" fillId="4" borderId="68" xfId="0" applyNumberFormat="1" applyFont="1" applyFill="1" applyBorder="1" applyAlignment="1" applyProtection="1">
      <alignment horizontal="right" vertical="center"/>
    </xf>
    <xf numFmtId="0" fontId="6" fillId="0" borderId="69" xfId="0" applyFont="1" applyBorder="1" applyAlignment="1" applyProtection="1">
      <alignment horizontal="center" wrapText="1"/>
    </xf>
    <xf numFmtId="0" fontId="6" fillId="0" borderId="70" xfId="0" applyFont="1" applyBorder="1" applyAlignment="1" applyProtection="1">
      <alignment horizontal="center" wrapText="1"/>
    </xf>
    <xf numFmtId="181" fontId="5" fillId="4" borderId="24" xfId="0" applyNumberFormat="1" applyFont="1" applyFill="1" applyBorder="1" applyAlignment="1" applyProtection="1">
      <alignment horizontal="right" vertical="center"/>
      <protection locked="0"/>
    </xf>
    <xf numFmtId="181" fontId="5" fillId="4" borderId="68" xfId="0" applyNumberFormat="1" applyFont="1" applyFill="1" applyBorder="1" applyAlignment="1" applyProtection="1">
      <alignment horizontal="right" vertical="center"/>
      <protection locked="0"/>
    </xf>
    <xf numFmtId="176" fontId="5" fillId="0" borderId="69" xfId="1" applyNumberFormat="1" applyFont="1" applyBorder="1" applyAlignment="1" applyProtection="1">
      <alignment horizontal="center" vertical="center"/>
    </xf>
    <xf numFmtId="176" fontId="5" fillId="0" borderId="70" xfId="1" applyNumberFormat="1" applyFont="1" applyBorder="1" applyAlignment="1" applyProtection="1">
      <alignment horizontal="center" vertical="center"/>
    </xf>
    <xf numFmtId="176" fontId="5" fillId="0" borderId="3" xfId="1" applyNumberFormat="1" applyFont="1" applyBorder="1" applyAlignment="1" applyProtection="1">
      <alignment horizontal="center" vertical="center"/>
    </xf>
    <xf numFmtId="176" fontId="5" fillId="0" borderId="11" xfId="1" applyNumberFormat="1" applyFont="1" applyBorder="1" applyAlignment="1" applyProtection="1">
      <alignment horizontal="center" vertical="center"/>
    </xf>
    <xf numFmtId="176" fontId="5" fillId="0" borderId="73" xfId="1" applyNumberFormat="1" applyFont="1" applyBorder="1" applyAlignment="1" applyProtection="1">
      <alignment horizontal="center" vertical="center"/>
    </xf>
    <xf numFmtId="176" fontId="5" fillId="0" borderId="74" xfId="1" applyNumberFormat="1" applyFont="1" applyBorder="1" applyAlignment="1" applyProtection="1">
      <alignment horizontal="center" vertical="center"/>
    </xf>
    <xf numFmtId="0" fontId="6" fillId="0" borderId="69" xfId="0" applyFont="1" applyBorder="1" applyAlignment="1" applyProtection="1">
      <alignment horizontal="left" vertical="center"/>
    </xf>
    <xf numFmtId="0" fontId="6" fillId="0" borderId="17" xfId="0" applyFont="1" applyBorder="1" applyAlignment="1" applyProtection="1">
      <alignment horizontal="left" vertical="center"/>
    </xf>
    <xf numFmtId="0" fontId="6" fillId="0" borderId="80" xfId="0" applyFont="1" applyBorder="1" applyAlignment="1" applyProtection="1">
      <alignment horizontal="left" vertical="center"/>
    </xf>
    <xf numFmtId="195" fontId="6" fillId="4" borderId="71" xfId="0" applyNumberFormat="1" applyFont="1" applyFill="1" applyBorder="1" applyAlignment="1" applyProtection="1">
      <alignment horizontal="center" vertical="center"/>
    </xf>
    <xf numFmtId="195" fontId="6" fillId="4" borderId="6" xfId="0" applyNumberFormat="1" applyFont="1" applyFill="1" applyBorder="1" applyAlignment="1" applyProtection="1">
      <alignment horizontal="center" vertical="center"/>
    </xf>
    <xf numFmtId="195" fontId="6" fillId="4" borderId="10" xfId="0" applyNumberFormat="1" applyFont="1" applyFill="1" applyBorder="1" applyAlignment="1" applyProtection="1">
      <alignment horizontal="center" vertical="center"/>
    </xf>
    <xf numFmtId="181" fontId="5" fillId="4" borderId="1" xfId="0" applyNumberFormat="1" applyFont="1" applyFill="1" applyBorder="1" applyAlignment="1" applyProtection="1">
      <alignment horizontal="right" vertical="center"/>
    </xf>
    <xf numFmtId="181" fontId="5" fillId="4" borderId="9" xfId="0" applyNumberFormat="1" applyFont="1" applyFill="1" applyBorder="1" applyAlignment="1" applyProtection="1">
      <alignment horizontal="right" vertical="center"/>
    </xf>
    <xf numFmtId="0" fontId="14" fillId="0" borderId="3" xfId="0" applyFont="1" applyBorder="1" applyAlignment="1" applyProtection="1">
      <alignment horizontal="center" vertical="top" wrapText="1"/>
    </xf>
    <xf numFmtId="0" fontId="14" fillId="0" borderId="11" xfId="0" applyFont="1" applyBorder="1" applyAlignment="1" applyProtection="1">
      <alignment horizontal="center" vertical="top" wrapText="1"/>
    </xf>
    <xf numFmtId="181" fontId="5" fillId="4" borderId="1" xfId="0" applyNumberFormat="1" applyFont="1" applyFill="1" applyBorder="1" applyAlignment="1" applyProtection="1">
      <alignment horizontal="right" vertical="center"/>
      <protection locked="0"/>
    </xf>
    <xf numFmtId="181" fontId="5" fillId="4" borderId="9" xfId="0" applyNumberFormat="1" applyFont="1" applyFill="1" applyBorder="1" applyAlignment="1" applyProtection="1">
      <alignment horizontal="right" vertical="center"/>
      <protection locked="0"/>
    </xf>
    <xf numFmtId="2" fontId="5" fillId="0" borderId="3" xfId="0" applyNumberFormat="1" applyFont="1" applyBorder="1" applyAlignment="1" applyProtection="1">
      <alignment horizontal="center" vertical="center"/>
    </xf>
    <xf numFmtId="2" fontId="5" fillId="0" borderId="0" xfId="0" applyNumberFormat="1" applyFont="1" applyBorder="1" applyAlignment="1" applyProtection="1">
      <alignment horizontal="center" vertical="center"/>
    </xf>
    <xf numFmtId="2" fontId="5" fillId="0" borderId="8" xfId="0" applyNumberFormat="1" applyFont="1" applyBorder="1" applyAlignment="1" applyProtection="1">
      <alignment horizontal="center" vertical="center"/>
    </xf>
    <xf numFmtId="178" fontId="6" fillId="4" borderId="71" xfId="0" applyNumberFormat="1" applyFont="1" applyFill="1" applyBorder="1" applyAlignment="1" applyProtection="1">
      <alignment horizontal="center" vertical="center"/>
    </xf>
    <xf numFmtId="178" fontId="6" fillId="4" borderId="6" xfId="0" applyNumberFormat="1" applyFont="1" applyFill="1" applyBorder="1" applyAlignment="1" applyProtection="1">
      <alignment horizontal="center" vertical="center"/>
    </xf>
    <xf numFmtId="178" fontId="6" fillId="4" borderId="10" xfId="0" applyNumberFormat="1" applyFont="1" applyFill="1" applyBorder="1" applyAlignment="1" applyProtection="1">
      <alignment horizontal="center" vertical="center"/>
    </xf>
    <xf numFmtId="0" fontId="6" fillId="0" borderId="16" xfId="0" applyFont="1" applyFill="1" applyBorder="1" applyAlignment="1" applyProtection="1">
      <alignment horizontal="center" vertical="center"/>
    </xf>
    <xf numFmtId="0" fontId="6" fillId="0" borderId="72" xfId="0" applyFont="1" applyFill="1" applyBorder="1" applyAlignment="1" applyProtection="1">
      <alignment horizontal="center" vertical="center"/>
    </xf>
    <xf numFmtId="0" fontId="6" fillId="0" borderId="30" xfId="0" applyFont="1" applyFill="1" applyBorder="1" applyAlignment="1" applyProtection="1">
      <alignment horizontal="center" vertical="center"/>
    </xf>
    <xf numFmtId="0" fontId="3" fillId="0" borderId="25" xfId="0" applyFont="1" applyBorder="1" applyAlignment="1" applyProtection="1">
      <alignment horizontal="center" vertical="center"/>
    </xf>
    <xf numFmtId="0" fontId="3" fillId="0" borderId="72" xfId="0" applyFont="1" applyBorder="1" applyAlignment="1" applyProtection="1">
      <alignment horizontal="center" vertical="center"/>
    </xf>
    <xf numFmtId="0" fontId="3" fillId="0" borderId="30" xfId="0" applyFont="1" applyBorder="1" applyAlignment="1" applyProtection="1">
      <alignment horizontal="center" vertical="center"/>
    </xf>
    <xf numFmtId="0" fontId="14" fillId="0" borderId="2" xfId="0" applyFont="1" applyBorder="1" applyAlignment="1" applyProtection="1">
      <alignment horizontal="center" vertical="center" wrapText="1"/>
    </xf>
    <xf numFmtId="0" fontId="14" fillId="0" borderId="6" xfId="0" applyFont="1" applyBorder="1" applyAlignment="1" applyProtection="1">
      <alignment horizontal="center" vertical="center" wrapText="1"/>
    </xf>
    <xf numFmtId="0" fontId="14" fillId="0" borderId="10" xfId="0" applyFont="1" applyBorder="1" applyAlignment="1" applyProtection="1">
      <alignment horizontal="center" vertical="center" wrapText="1"/>
    </xf>
    <xf numFmtId="0" fontId="6" fillId="0" borderId="18" xfId="0" applyFont="1" applyBorder="1" applyAlignment="1" applyProtection="1">
      <alignment horizontal="center" vertical="center" wrapText="1"/>
    </xf>
    <xf numFmtId="0" fontId="6" fillId="0" borderId="77" xfId="0" applyFont="1" applyBorder="1" applyAlignment="1" applyProtection="1">
      <alignment horizontal="center" vertical="center" wrapText="1"/>
    </xf>
    <xf numFmtId="0" fontId="6" fillId="0" borderId="23" xfId="0" applyFont="1" applyBorder="1" applyAlignment="1" applyProtection="1">
      <alignment horizontal="center" vertical="center" wrapText="1"/>
    </xf>
    <xf numFmtId="0" fontId="6" fillId="0" borderId="21" xfId="0" applyFont="1" applyBorder="1" applyAlignment="1" applyProtection="1">
      <alignment horizontal="center" vertical="center" wrapText="1"/>
    </xf>
    <xf numFmtId="0" fontId="6" fillId="0" borderId="77" xfId="0" applyFont="1" applyBorder="1" applyAlignment="1" applyProtection="1">
      <alignment horizontal="center" vertical="center"/>
    </xf>
    <xf numFmtId="0" fontId="14" fillId="0" borderId="21" xfId="0" applyFont="1" applyBorder="1" applyAlignment="1" applyProtection="1">
      <alignment horizontal="center" vertical="center" wrapText="1"/>
    </xf>
    <xf numFmtId="0" fontId="14" fillId="0" borderId="77" xfId="0" applyFont="1" applyBorder="1" applyAlignment="1" applyProtection="1">
      <alignment horizontal="center" vertical="center" wrapText="1"/>
    </xf>
    <xf numFmtId="0" fontId="14" fillId="0" borderId="23" xfId="0" applyFont="1" applyBorder="1" applyAlignment="1" applyProtection="1">
      <alignment horizontal="center" vertical="center" wrapText="1"/>
    </xf>
    <xf numFmtId="0" fontId="6" fillId="0" borderId="23"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4" borderId="79" xfId="0" applyFont="1" applyFill="1" applyBorder="1" applyAlignment="1" applyProtection="1">
      <alignment horizontal="center" vertical="center" shrinkToFit="1"/>
      <protection locked="0"/>
    </xf>
    <xf numFmtId="0" fontId="6" fillId="4" borderId="17" xfId="0" applyFont="1" applyFill="1" applyBorder="1" applyAlignment="1" applyProtection="1">
      <alignment horizontal="center" vertical="center" shrinkToFit="1"/>
      <protection locked="0"/>
    </xf>
    <xf numFmtId="0" fontId="6" fillId="4" borderId="80" xfId="0" applyFont="1" applyFill="1" applyBorder="1" applyAlignment="1" applyProtection="1">
      <alignment horizontal="center" vertical="center" shrinkToFit="1"/>
      <protection locked="0"/>
    </xf>
    <xf numFmtId="0" fontId="6" fillId="4" borderId="29" xfId="0" applyFont="1" applyFill="1" applyBorder="1" applyAlignment="1" applyProtection="1">
      <alignment horizontal="center" vertical="center" shrinkToFit="1"/>
      <protection locked="0"/>
    </xf>
    <xf numFmtId="0" fontId="6" fillId="4" borderId="0" xfId="0" applyFont="1" applyFill="1" applyBorder="1" applyAlignment="1" applyProtection="1">
      <alignment horizontal="center" vertical="center" shrinkToFit="1"/>
      <protection locked="0"/>
    </xf>
    <xf numFmtId="0" fontId="6" fillId="4" borderId="8" xfId="0" applyFont="1" applyFill="1" applyBorder="1" applyAlignment="1" applyProtection="1">
      <alignment horizontal="center" vertical="center" shrinkToFit="1"/>
      <protection locked="0"/>
    </xf>
    <xf numFmtId="0" fontId="6" fillId="4" borderId="78" xfId="0" applyFont="1" applyFill="1" applyBorder="1" applyAlignment="1" applyProtection="1">
      <alignment horizontal="center" vertical="center" shrinkToFit="1"/>
      <protection locked="0"/>
    </xf>
    <xf numFmtId="0" fontId="6" fillId="4" borderId="75" xfId="0" applyFont="1" applyFill="1" applyBorder="1" applyAlignment="1" applyProtection="1">
      <alignment horizontal="center" vertical="center" shrinkToFit="1"/>
      <protection locked="0"/>
    </xf>
    <xf numFmtId="0" fontId="6" fillId="4" borderId="76" xfId="0" applyFont="1" applyFill="1" applyBorder="1" applyAlignment="1" applyProtection="1">
      <alignment horizontal="center" vertical="center" shrinkToFit="1"/>
      <protection locked="0"/>
    </xf>
    <xf numFmtId="0" fontId="8" fillId="0" borderId="2" xfId="0" applyFont="1" applyBorder="1" applyAlignment="1" applyProtection="1">
      <alignment vertical="center" wrapText="1"/>
    </xf>
    <xf numFmtId="0" fontId="8" fillId="0" borderId="6" xfId="0" applyFont="1" applyBorder="1" applyAlignment="1" applyProtection="1">
      <alignment vertical="center"/>
    </xf>
    <xf numFmtId="0" fontId="8" fillId="0" borderId="10" xfId="0" applyFont="1" applyBorder="1" applyAlignment="1" applyProtection="1">
      <alignment vertical="center"/>
    </xf>
    <xf numFmtId="0" fontId="8" fillId="0" borderId="3" xfId="0" applyFont="1" applyBorder="1" applyAlignment="1" applyProtection="1">
      <alignment vertical="center" wrapText="1"/>
    </xf>
    <xf numFmtId="0" fontId="8" fillId="0" borderId="0" xfId="0" applyFont="1" applyBorder="1" applyAlignment="1" applyProtection="1">
      <alignment vertical="center"/>
    </xf>
    <xf numFmtId="0" fontId="8" fillId="0" borderId="11" xfId="0" applyFont="1" applyBorder="1" applyAlignment="1" applyProtection="1">
      <alignment vertical="center"/>
    </xf>
    <xf numFmtId="0" fontId="8" fillId="0" borderId="4" xfId="0" applyFont="1" applyBorder="1" applyAlignment="1" applyProtection="1">
      <alignment vertical="center" wrapText="1"/>
    </xf>
    <xf numFmtId="0" fontId="8" fillId="0" borderId="7" xfId="0" applyFont="1" applyBorder="1" applyAlignment="1" applyProtection="1">
      <alignment vertical="center"/>
    </xf>
    <xf numFmtId="0" fontId="8" fillId="0" borderId="12" xfId="0" applyFont="1" applyBorder="1" applyAlignment="1" applyProtection="1">
      <alignment vertical="center"/>
    </xf>
    <xf numFmtId="178" fontId="5" fillId="3" borderId="1" xfId="0" applyNumberFormat="1" applyFont="1" applyFill="1" applyBorder="1" applyAlignment="1" applyProtection="1">
      <alignment horizontal="center" vertical="center"/>
    </xf>
    <xf numFmtId="178" fontId="5" fillId="3" borderId="5" xfId="0" applyNumberFormat="1" applyFont="1" applyFill="1" applyBorder="1" applyAlignment="1" applyProtection="1">
      <alignment horizontal="center" vertical="center"/>
    </xf>
    <xf numFmtId="178" fontId="5" fillId="3" borderId="9" xfId="0" applyNumberFormat="1" applyFont="1" applyFill="1" applyBorder="1" applyAlignment="1" applyProtection="1">
      <alignment horizontal="center" vertical="center"/>
    </xf>
    <xf numFmtId="0" fontId="6" fillId="0" borderId="1"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9" xfId="0" applyFont="1" applyBorder="1" applyAlignment="1" applyProtection="1">
      <alignment horizontal="center" vertical="center"/>
    </xf>
    <xf numFmtId="201" fontId="5" fillId="0" borderId="1" xfId="0" applyNumberFormat="1" applyFont="1" applyFill="1" applyBorder="1" applyAlignment="1" applyProtection="1">
      <alignment horizontal="right" vertical="center"/>
    </xf>
    <xf numFmtId="201" fontId="5" fillId="0" borderId="5" xfId="0" applyNumberFormat="1" applyFont="1" applyFill="1" applyBorder="1" applyAlignment="1" applyProtection="1">
      <alignment horizontal="right" vertical="center"/>
    </xf>
    <xf numFmtId="201" fontId="5" fillId="0" borderId="51" xfId="0" applyNumberFormat="1" applyFont="1" applyFill="1" applyBorder="1" applyAlignment="1" applyProtection="1">
      <alignment horizontal="right" vertical="center"/>
    </xf>
    <xf numFmtId="0" fontId="8" fillId="0" borderId="1" xfId="0" applyFont="1" applyBorder="1" applyAlignment="1" applyProtection="1">
      <alignment horizontal="left" vertical="center"/>
    </xf>
    <xf numFmtId="0" fontId="8" fillId="0" borderId="5" xfId="0" applyFont="1" applyBorder="1" applyAlignment="1" applyProtection="1">
      <alignment horizontal="left" vertical="center"/>
    </xf>
    <xf numFmtId="0" fontId="8" fillId="0" borderId="9" xfId="0" applyFont="1" applyBorder="1" applyAlignment="1" applyProtection="1">
      <alignment horizontal="left" vertical="center"/>
    </xf>
    <xf numFmtId="0" fontId="14" fillId="0" borderId="2" xfId="0" applyFont="1" applyFill="1" applyBorder="1" applyAlignment="1" applyProtection="1">
      <alignment horizontal="center" vertical="center" wrapText="1"/>
    </xf>
    <xf numFmtId="0" fontId="14" fillId="0" borderId="10" xfId="0" applyFont="1" applyFill="1" applyBorder="1" applyAlignment="1" applyProtection="1">
      <alignment horizontal="center" vertical="center" wrapText="1"/>
    </xf>
    <xf numFmtId="0" fontId="14" fillId="0" borderId="3" xfId="0" applyFont="1" applyFill="1" applyBorder="1" applyAlignment="1" applyProtection="1">
      <alignment horizontal="center" vertical="center" wrapText="1"/>
    </xf>
    <xf numFmtId="0" fontId="14" fillId="0" borderId="11" xfId="0"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0" fontId="14" fillId="0" borderId="12"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xf>
    <xf numFmtId="0" fontId="9" fillId="0" borderId="9" xfId="0" applyFont="1" applyFill="1" applyBorder="1" applyAlignment="1" applyProtection="1">
      <alignment horizontal="center" vertical="center"/>
    </xf>
    <xf numFmtId="58" fontId="5" fillId="3" borderId="1" xfId="0" applyNumberFormat="1" applyFont="1" applyFill="1" applyBorder="1" applyAlignment="1" applyProtection="1">
      <alignment horizontal="center" vertical="center"/>
      <protection locked="0"/>
    </xf>
    <xf numFmtId="58" fontId="5" fillId="3" borderId="5" xfId="0" applyNumberFormat="1" applyFont="1" applyFill="1" applyBorder="1" applyAlignment="1" applyProtection="1">
      <alignment horizontal="center" vertical="center"/>
      <protection locked="0"/>
    </xf>
    <xf numFmtId="58" fontId="5" fillId="3" borderId="9" xfId="0" applyNumberFormat="1" applyFont="1" applyFill="1" applyBorder="1" applyAlignment="1" applyProtection="1">
      <alignment horizontal="center" vertical="center"/>
      <protection locked="0"/>
    </xf>
    <xf numFmtId="0" fontId="10" fillId="0" borderId="2" xfId="0" applyFont="1" applyFill="1" applyBorder="1" applyAlignment="1" applyProtection="1">
      <alignment horizontal="center" vertical="center"/>
    </xf>
    <xf numFmtId="0" fontId="10" fillId="0" borderId="10" xfId="0" applyFont="1" applyFill="1" applyBorder="1" applyAlignment="1" applyProtection="1">
      <alignment horizontal="center" vertical="center"/>
    </xf>
    <xf numFmtId="0" fontId="10" fillId="0" borderId="4" xfId="0" applyFont="1" applyFill="1" applyBorder="1" applyAlignment="1" applyProtection="1">
      <alignment horizontal="center" vertical="center"/>
    </xf>
    <xf numFmtId="0" fontId="10" fillId="0" borderId="12" xfId="0" applyFont="1" applyFill="1" applyBorder="1" applyAlignment="1" applyProtection="1">
      <alignment horizontal="center" vertical="center"/>
    </xf>
    <xf numFmtId="58" fontId="10" fillId="3" borderId="2" xfId="0" applyNumberFormat="1" applyFont="1" applyFill="1" applyBorder="1" applyAlignment="1" applyProtection="1">
      <alignment horizontal="center" vertical="center"/>
      <protection locked="0"/>
    </xf>
    <xf numFmtId="58" fontId="10" fillId="3" borderId="6" xfId="0" applyNumberFormat="1" applyFont="1" applyFill="1" applyBorder="1" applyAlignment="1" applyProtection="1">
      <alignment horizontal="center" vertical="center"/>
      <protection locked="0"/>
    </xf>
    <xf numFmtId="58" fontId="10" fillId="3" borderId="10" xfId="0" applyNumberFormat="1" applyFont="1" applyFill="1" applyBorder="1" applyAlignment="1" applyProtection="1">
      <alignment horizontal="center" vertical="center"/>
      <protection locked="0"/>
    </xf>
    <xf numFmtId="58" fontId="10" fillId="3" borderId="4" xfId="0" applyNumberFormat="1" applyFont="1" applyFill="1" applyBorder="1" applyAlignment="1" applyProtection="1">
      <alignment horizontal="center" vertical="center"/>
      <protection locked="0"/>
    </xf>
    <xf numFmtId="58" fontId="10" fillId="3" borderId="7" xfId="0" applyNumberFormat="1" applyFont="1" applyFill="1" applyBorder="1" applyAlignment="1" applyProtection="1">
      <alignment horizontal="center" vertical="center"/>
      <protection locked="0"/>
    </xf>
    <xf numFmtId="58" fontId="10" fillId="3" borderId="12" xfId="0" applyNumberFormat="1" applyFont="1" applyFill="1" applyBorder="1" applyAlignment="1" applyProtection="1">
      <alignment horizontal="center" vertical="center"/>
      <protection locked="0"/>
    </xf>
    <xf numFmtId="0" fontId="5" fillId="0" borderId="1" xfId="0" applyFont="1" applyBorder="1" applyAlignment="1" applyProtection="1">
      <alignment horizontal="center" vertical="center"/>
    </xf>
    <xf numFmtId="0" fontId="5" fillId="0" borderId="9" xfId="0" applyFont="1" applyBorder="1" applyAlignment="1" applyProtection="1">
      <alignment horizontal="center" vertical="center"/>
    </xf>
    <xf numFmtId="0" fontId="5" fillId="3" borderId="2" xfId="0" applyFont="1" applyFill="1" applyBorder="1" applyAlignment="1" applyProtection="1">
      <alignment horizontal="center" vertical="center"/>
      <protection locked="0"/>
    </xf>
    <xf numFmtId="0" fontId="5" fillId="3" borderId="6" xfId="0" applyFont="1" applyFill="1" applyBorder="1" applyAlignment="1" applyProtection="1">
      <alignment horizontal="center" vertical="center"/>
      <protection locked="0"/>
    </xf>
    <xf numFmtId="0" fontId="5" fillId="3" borderId="10" xfId="0" applyFont="1" applyFill="1" applyBorder="1" applyAlignment="1" applyProtection="1">
      <alignment horizontal="center" vertical="center"/>
      <protection locked="0"/>
    </xf>
    <xf numFmtId="0" fontId="10" fillId="0" borderId="1" xfId="0" applyFont="1" applyBorder="1" applyAlignment="1" applyProtection="1">
      <alignment horizontal="center" vertical="center"/>
    </xf>
    <xf numFmtId="0" fontId="10" fillId="0" borderId="9" xfId="0" applyFont="1" applyBorder="1" applyAlignment="1" applyProtection="1">
      <alignment horizontal="center" vertical="center"/>
    </xf>
    <xf numFmtId="178" fontId="5" fillId="4" borderId="1" xfId="0" applyNumberFormat="1" applyFont="1" applyFill="1" applyBorder="1" applyAlignment="1" applyProtection="1">
      <alignment horizontal="center" vertical="center"/>
    </xf>
    <xf numFmtId="178" fontId="5" fillId="4" borderId="5" xfId="0" applyNumberFormat="1" applyFont="1" applyFill="1" applyBorder="1" applyAlignment="1" applyProtection="1">
      <alignment horizontal="center" vertical="center"/>
    </xf>
    <xf numFmtId="178" fontId="5" fillId="4" borderId="9" xfId="0" applyNumberFormat="1" applyFont="1" applyFill="1" applyBorder="1" applyAlignment="1" applyProtection="1">
      <alignment horizontal="center" vertical="center"/>
    </xf>
    <xf numFmtId="187" fontId="5" fillId="0" borderId="1" xfId="0" applyNumberFormat="1" applyFont="1" applyFill="1" applyBorder="1" applyAlignment="1" applyProtection="1">
      <alignment horizontal="right" vertical="center"/>
    </xf>
    <xf numFmtId="187" fontId="5" fillId="0" borderId="5" xfId="0" applyNumberFormat="1" applyFont="1" applyFill="1" applyBorder="1" applyAlignment="1" applyProtection="1">
      <alignment horizontal="right" vertical="center"/>
    </xf>
    <xf numFmtId="187" fontId="5" fillId="0" borderId="9" xfId="0" applyNumberFormat="1" applyFont="1" applyFill="1" applyBorder="1" applyAlignment="1" applyProtection="1">
      <alignment horizontal="right" vertical="center"/>
    </xf>
    <xf numFmtId="0" fontId="6" fillId="0" borderId="1" xfId="0" applyFont="1" applyBorder="1" applyAlignment="1" applyProtection="1">
      <alignment horizontal="center" vertical="center" wrapText="1"/>
    </xf>
    <xf numFmtId="0" fontId="6" fillId="0" borderId="5" xfId="0" applyFont="1" applyBorder="1" applyAlignment="1" applyProtection="1">
      <alignment horizontal="center" vertical="center" wrapText="1"/>
    </xf>
    <xf numFmtId="0" fontId="6" fillId="0" borderId="9" xfId="0" applyFont="1" applyBorder="1" applyAlignment="1" applyProtection="1">
      <alignment horizontal="center" vertical="center" wrapText="1"/>
    </xf>
    <xf numFmtId="178" fontId="6" fillId="0" borderId="1" xfId="0" applyNumberFormat="1" applyFont="1" applyFill="1" applyBorder="1" applyAlignment="1" applyProtection="1">
      <alignment horizontal="center" vertical="center"/>
    </xf>
    <xf numFmtId="178" fontId="6" fillId="0" borderId="5" xfId="0" applyNumberFormat="1" applyFont="1" applyFill="1" applyBorder="1" applyAlignment="1" applyProtection="1">
      <alignment horizontal="center" vertical="center"/>
    </xf>
    <xf numFmtId="178" fontId="6" fillId="0" borderId="9" xfId="0" applyNumberFormat="1" applyFont="1" applyFill="1" applyBorder="1" applyAlignment="1" applyProtection="1">
      <alignment horizontal="center" vertical="center"/>
    </xf>
    <xf numFmtId="188" fontId="5" fillId="0" borderId="61" xfId="0" applyNumberFormat="1" applyFont="1" applyFill="1" applyBorder="1" applyAlignment="1" applyProtection="1">
      <alignment horizontal="right" vertical="center"/>
    </xf>
    <xf numFmtId="188" fontId="5" fillId="0" borderId="62" xfId="0" applyNumberFormat="1" applyFont="1" applyFill="1" applyBorder="1" applyAlignment="1" applyProtection="1">
      <alignment horizontal="right" vertical="center"/>
    </xf>
    <xf numFmtId="187" fontId="5" fillId="0" borderId="2" xfId="0" applyNumberFormat="1" applyFont="1" applyFill="1" applyBorder="1" applyAlignment="1" applyProtection="1">
      <alignment horizontal="right" vertical="center"/>
    </xf>
    <xf numFmtId="187" fontId="5" fillId="0" borderId="6" xfId="0" applyNumberFormat="1" applyFont="1" applyFill="1" applyBorder="1" applyAlignment="1" applyProtection="1">
      <alignment horizontal="right" vertical="center"/>
    </xf>
    <xf numFmtId="0" fontId="6" fillId="0" borderId="42" xfId="0" applyFont="1" applyFill="1" applyBorder="1" applyAlignment="1" applyProtection="1">
      <alignment horizontal="center" vertical="center" wrapText="1"/>
    </xf>
    <xf numFmtId="0" fontId="6" fillId="0" borderId="44" xfId="0" applyFont="1" applyFill="1" applyBorder="1" applyAlignment="1" applyProtection="1">
      <alignment horizontal="center" vertical="center"/>
    </xf>
    <xf numFmtId="0" fontId="6" fillId="3" borderId="45" xfId="0" applyFont="1" applyFill="1" applyBorder="1" applyAlignment="1" applyProtection="1">
      <alignment horizontal="center" vertical="center"/>
      <protection locked="0"/>
    </xf>
    <xf numFmtId="0" fontId="6" fillId="3" borderId="46" xfId="0" applyFont="1" applyFill="1" applyBorder="1" applyAlignment="1" applyProtection="1">
      <alignment horizontal="center" vertical="center"/>
      <protection locked="0"/>
    </xf>
    <xf numFmtId="0" fontId="6" fillId="3" borderId="59" xfId="0" applyFont="1" applyFill="1" applyBorder="1" applyAlignment="1" applyProtection="1">
      <alignment horizontal="center" vertical="center"/>
      <protection locked="0"/>
    </xf>
    <xf numFmtId="0" fontId="6" fillId="3" borderId="60" xfId="0" applyFont="1" applyFill="1" applyBorder="1" applyAlignment="1" applyProtection="1">
      <alignment horizontal="center" vertical="center"/>
      <protection locked="0"/>
    </xf>
    <xf numFmtId="0" fontId="6" fillId="3" borderId="47" xfId="0" applyFont="1" applyFill="1" applyBorder="1" applyAlignment="1" applyProtection="1">
      <alignment horizontal="center" vertical="center"/>
      <protection locked="0"/>
    </xf>
    <xf numFmtId="0" fontId="6" fillId="3" borderId="49" xfId="0" applyFont="1" applyFill="1" applyBorder="1" applyAlignment="1" applyProtection="1">
      <alignment horizontal="center" vertical="center"/>
      <protection locked="0"/>
    </xf>
    <xf numFmtId="176" fontId="5" fillId="0" borderId="1" xfId="1" applyNumberFormat="1" applyFont="1" applyBorder="1" applyAlignment="1" applyProtection="1">
      <alignment horizontal="right" vertical="center"/>
    </xf>
    <xf numFmtId="176" fontId="5" fillId="0" borderId="5" xfId="1" applyNumberFormat="1" applyFont="1" applyBorder="1" applyAlignment="1" applyProtection="1">
      <alignment horizontal="right" vertical="center"/>
    </xf>
    <xf numFmtId="176" fontId="5" fillId="0" borderId="2" xfId="1" applyNumberFormat="1" applyFont="1" applyBorder="1" applyAlignment="1" applyProtection="1">
      <alignment horizontal="right" vertical="center"/>
    </xf>
    <xf numFmtId="176" fontId="5" fillId="0" borderId="10" xfId="1" applyNumberFormat="1" applyFont="1" applyBorder="1" applyAlignment="1" applyProtection="1">
      <alignment horizontal="right" vertical="center"/>
    </xf>
    <xf numFmtId="176" fontId="5" fillId="0" borderId="3" xfId="1" applyNumberFormat="1" applyFont="1" applyBorder="1" applyAlignment="1" applyProtection="1">
      <alignment horizontal="right" vertical="center"/>
    </xf>
    <xf numFmtId="176" fontId="5" fillId="0" borderId="11" xfId="1" applyNumberFormat="1" applyFont="1" applyBorder="1" applyAlignment="1" applyProtection="1">
      <alignment horizontal="right" vertical="center"/>
    </xf>
    <xf numFmtId="176" fontId="5" fillId="0" borderId="4" xfId="1" applyNumberFormat="1" applyFont="1" applyBorder="1" applyAlignment="1" applyProtection="1">
      <alignment horizontal="right" vertical="center"/>
    </xf>
    <xf numFmtId="176" fontId="5" fillId="0" borderId="12" xfId="1" applyNumberFormat="1" applyFont="1" applyBorder="1" applyAlignment="1" applyProtection="1">
      <alignment horizontal="right" vertical="center"/>
    </xf>
    <xf numFmtId="191" fontId="5" fillId="0" borderId="2" xfId="0" applyNumberFormat="1" applyFont="1" applyBorder="1" applyAlignment="1" applyProtection="1">
      <alignment horizontal="right" vertical="center"/>
    </xf>
    <xf numFmtId="191" fontId="5" fillId="0" borderId="6" xfId="0" applyNumberFormat="1" applyFont="1" applyBorder="1" applyAlignment="1" applyProtection="1">
      <alignment horizontal="right" vertical="center"/>
    </xf>
    <xf numFmtId="191" fontId="5" fillId="0" borderId="10" xfId="0" applyNumberFormat="1" applyFont="1" applyBorder="1" applyAlignment="1" applyProtection="1">
      <alignment horizontal="right" vertical="center"/>
    </xf>
    <xf numFmtId="191" fontId="5" fillId="0" borderId="3" xfId="0" applyNumberFormat="1" applyFont="1" applyBorder="1" applyAlignment="1" applyProtection="1">
      <alignment horizontal="right" vertical="center"/>
    </xf>
    <xf numFmtId="191" fontId="5" fillId="0" borderId="0" xfId="0" applyNumberFormat="1" applyFont="1" applyBorder="1" applyAlignment="1" applyProtection="1">
      <alignment horizontal="right" vertical="center"/>
    </xf>
    <xf numFmtId="191" fontId="5" fillId="0" borderId="11" xfId="0" applyNumberFormat="1" applyFont="1" applyBorder="1" applyAlignment="1" applyProtection="1">
      <alignment horizontal="right" vertical="center"/>
    </xf>
    <xf numFmtId="191" fontId="5" fillId="0" borderId="4" xfId="0" applyNumberFormat="1" applyFont="1" applyBorder="1" applyAlignment="1" applyProtection="1">
      <alignment horizontal="right" vertical="center"/>
    </xf>
    <xf numFmtId="191" fontId="5" fillId="0" borderId="7" xfId="0" applyNumberFormat="1" applyFont="1" applyBorder="1" applyAlignment="1" applyProtection="1">
      <alignment horizontal="right" vertical="center"/>
    </xf>
    <xf numFmtId="191" fontId="5" fillId="0" borderId="12" xfId="0" applyNumberFormat="1" applyFont="1" applyBorder="1" applyAlignment="1" applyProtection="1">
      <alignment horizontal="right" vertical="center"/>
    </xf>
    <xf numFmtId="178" fontId="6" fillId="4" borderId="1" xfId="0" applyNumberFormat="1" applyFont="1" applyFill="1" applyBorder="1" applyAlignment="1" applyProtection="1">
      <alignment horizontal="center" vertical="center"/>
    </xf>
    <xf numFmtId="178" fontId="6" fillId="4" borderId="5" xfId="0" applyNumberFormat="1" applyFont="1" applyFill="1" applyBorder="1" applyAlignment="1" applyProtection="1">
      <alignment horizontal="center" vertical="center"/>
    </xf>
    <xf numFmtId="178" fontId="6" fillId="4" borderId="9" xfId="0" applyNumberFormat="1" applyFont="1" applyFill="1" applyBorder="1" applyAlignment="1" applyProtection="1">
      <alignment horizontal="center" vertical="center"/>
    </xf>
    <xf numFmtId="181" fontId="5" fillId="4" borderId="4" xfId="0" applyNumberFormat="1" applyFont="1" applyFill="1" applyBorder="1" applyAlignment="1" applyProtection="1">
      <alignment horizontal="right" vertical="center"/>
    </xf>
    <xf numFmtId="181" fontId="5" fillId="4" borderId="12" xfId="0" applyNumberFormat="1" applyFont="1" applyFill="1" applyBorder="1" applyAlignment="1" applyProtection="1">
      <alignment horizontal="right" vertical="center"/>
    </xf>
    <xf numFmtId="0" fontId="3" fillId="0" borderId="1"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0" borderId="9" xfId="0" applyFont="1" applyBorder="1" applyAlignment="1" applyProtection="1">
      <alignment horizontal="center" vertical="center"/>
    </xf>
    <xf numFmtId="176" fontId="6" fillId="0" borderId="2" xfId="0" applyNumberFormat="1" applyFont="1" applyBorder="1" applyAlignment="1" applyProtection="1">
      <alignment horizontal="center" vertical="center" wrapText="1"/>
    </xf>
    <xf numFmtId="176" fontId="6" fillId="0" borderId="10" xfId="0" applyNumberFormat="1" applyFont="1" applyBorder="1" applyAlignment="1" applyProtection="1">
      <alignment horizontal="center" vertical="center"/>
    </xf>
    <xf numFmtId="199" fontId="5" fillId="4" borderId="1" xfId="0" applyNumberFormat="1" applyFont="1" applyFill="1" applyBorder="1" applyAlignment="1" applyProtection="1">
      <alignment horizontal="right" vertical="center"/>
      <protection locked="0"/>
    </xf>
    <xf numFmtId="199" fontId="5" fillId="4" borderId="5" xfId="0" applyNumberFormat="1" applyFont="1" applyFill="1" applyBorder="1" applyAlignment="1" applyProtection="1">
      <alignment horizontal="right" vertical="center"/>
      <protection locked="0"/>
    </xf>
    <xf numFmtId="199" fontId="5" fillId="4" borderId="9" xfId="0" applyNumberFormat="1" applyFont="1" applyFill="1" applyBorder="1" applyAlignment="1" applyProtection="1">
      <alignment horizontal="right" vertical="center"/>
      <protection locked="0"/>
    </xf>
    <xf numFmtId="199" fontId="5" fillId="0" borderId="1" xfId="0" applyNumberFormat="1" applyFont="1" applyFill="1" applyBorder="1" applyAlignment="1" applyProtection="1">
      <alignment horizontal="right" vertical="center"/>
      <protection locked="0"/>
    </xf>
    <xf numFmtId="199" fontId="5" fillId="0" borderId="5" xfId="0" applyNumberFormat="1" applyFont="1" applyFill="1" applyBorder="1" applyAlignment="1" applyProtection="1">
      <alignment horizontal="right" vertical="center"/>
      <protection locked="0"/>
    </xf>
    <xf numFmtId="199" fontId="5" fillId="0" borderId="9" xfId="0" applyNumberFormat="1" applyFont="1" applyFill="1" applyBorder="1" applyAlignment="1" applyProtection="1">
      <alignment horizontal="right" vertical="center"/>
      <protection locked="0"/>
    </xf>
    <xf numFmtId="176" fontId="5" fillId="0" borderId="1" xfId="1" applyNumberFormat="1" applyFont="1" applyBorder="1" applyAlignment="1" applyProtection="1">
      <alignment horizontal="center" vertical="center" wrapText="1"/>
    </xf>
    <xf numFmtId="176" fontId="5" fillId="0" borderId="5" xfId="1" applyNumberFormat="1" applyFont="1" applyBorder="1" applyAlignment="1" applyProtection="1">
      <alignment horizontal="center" vertical="center" wrapText="1"/>
    </xf>
    <xf numFmtId="176" fontId="5" fillId="0" borderId="9" xfId="1" applyNumberFormat="1" applyFont="1" applyBorder="1" applyAlignment="1" applyProtection="1">
      <alignment horizontal="center" vertical="center" wrapText="1"/>
    </xf>
    <xf numFmtId="181" fontId="5" fillId="3" borderId="1" xfId="0" applyNumberFormat="1" applyFont="1" applyFill="1" applyBorder="1" applyAlignment="1" applyProtection="1">
      <alignment horizontal="right" vertical="center"/>
      <protection locked="0"/>
    </xf>
    <xf numFmtId="181" fontId="5" fillId="3" borderId="9" xfId="0" applyNumberFormat="1" applyFont="1" applyFill="1" applyBorder="1" applyAlignment="1" applyProtection="1">
      <alignment horizontal="right" vertical="center"/>
      <protection locked="0"/>
    </xf>
    <xf numFmtId="176" fontId="5" fillId="0" borderId="6" xfId="1" applyNumberFormat="1" applyFont="1" applyBorder="1" applyAlignment="1" applyProtection="1">
      <alignment horizontal="right" vertical="center"/>
    </xf>
    <xf numFmtId="176" fontId="5" fillId="0" borderId="0" xfId="1" applyNumberFormat="1" applyFont="1" applyBorder="1" applyAlignment="1" applyProtection="1">
      <alignment horizontal="right" vertical="center"/>
    </xf>
    <xf numFmtId="176" fontId="5" fillId="0" borderId="7" xfId="1" applyNumberFormat="1" applyFont="1" applyBorder="1" applyAlignment="1" applyProtection="1">
      <alignment horizontal="right" vertical="center"/>
    </xf>
    <xf numFmtId="0" fontId="10" fillId="0" borderId="1" xfId="0" applyFont="1" applyFill="1" applyBorder="1" applyAlignment="1" applyProtection="1">
      <alignment horizontal="center" vertical="center"/>
    </xf>
    <xf numFmtId="0" fontId="10" fillId="0" borderId="5" xfId="0" applyFont="1" applyFill="1" applyBorder="1" applyAlignment="1" applyProtection="1">
      <alignment horizontal="center" vertical="center"/>
    </xf>
    <xf numFmtId="0" fontId="10" fillId="0" borderId="9" xfId="0" applyFont="1" applyFill="1" applyBorder="1" applyAlignment="1" applyProtection="1">
      <alignment horizontal="center" vertical="center"/>
    </xf>
    <xf numFmtId="191" fontId="5" fillId="0" borderId="45" xfId="0" applyNumberFormat="1" applyFont="1" applyBorder="1" applyAlignment="1" applyProtection="1">
      <alignment horizontal="right" vertical="center"/>
    </xf>
    <xf numFmtId="191" fontId="5" fillId="0" borderId="46" xfId="0" applyNumberFormat="1" applyFont="1" applyBorder="1" applyAlignment="1" applyProtection="1">
      <alignment horizontal="right" vertical="center"/>
    </xf>
    <xf numFmtId="191" fontId="5" fillId="0" borderId="59" xfId="0" applyNumberFormat="1" applyFont="1" applyBorder="1" applyAlignment="1" applyProtection="1">
      <alignment horizontal="right" vertical="center"/>
    </xf>
    <xf numFmtId="191" fontId="5" fillId="0" borderId="60" xfId="0" applyNumberFormat="1" applyFont="1" applyBorder="1" applyAlignment="1" applyProtection="1">
      <alignment horizontal="right" vertical="center"/>
    </xf>
    <xf numFmtId="191" fontId="5" fillId="0" borderId="47" xfId="0" applyNumberFormat="1" applyFont="1" applyBorder="1" applyAlignment="1" applyProtection="1">
      <alignment horizontal="right" vertical="center"/>
    </xf>
    <xf numFmtId="191" fontId="5" fillId="0" borderId="48" xfId="0" applyNumberFormat="1" applyFont="1" applyBorder="1" applyAlignment="1" applyProtection="1">
      <alignment horizontal="right" vertical="center"/>
    </xf>
    <xf numFmtId="191" fontId="5" fillId="0" borderId="49" xfId="0" applyNumberFormat="1" applyFont="1" applyBorder="1" applyAlignment="1" applyProtection="1">
      <alignment horizontal="right" vertical="center"/>
    </xf>
    <xf numFmtId="0" fontId="6" fillId="0" borderId="42" xfId="0" applyFont="1" applyBorder="1" applyAlignment="1" applyProtection="1">
      <alignment horizontal="center" vertical="center" wrapText="1"/>
    </xf>
    <xf numFmtId="0" fontId="6" fillId="0" borderId="43" xfId="0" applyFont="1" applyBorder="1" applyAlignment="1" applyProtection="1">
      <alignment horizontal="center" vertical="center"/>
    </xf>
    <xf numFmtId="0" fontId="6" fillId="0" borderId="44" xfId="0" applyFont="1" applyBorder="1" applyAlignment="1" applyProtection="1">
      <alignment horizontal="center" vertical="center"/>
    </xf>
    <xf numFmtId="0" fontId="6" fillId="3" borderId="45" xfId="0" applyFont="1" applyFill="1" applyBorder="1" applyAlignment="1" applyProtection="1">
      <alignment horizontal="center" vertical="center" wrapText="1"/>
      <protection locked="0"/>
    </xf>
    <xf numFmtId="0" fontId="6" fillId="3" borderId="46" xfId="0" applyFont="1" applyFill="1" applyBorder="1" applyAlignment="1" applyProtection="1">
      <alignment horizontal="center" vertical="center" wrapText="1"/>
      <protection locked="0"/>
    </xf>
    <xf numFmtId="0" fontId="6" fillId="3" borderId="47" xfId="0" applyFont="1" applyFill="1" applyBorder="1" applyAlignment="1" applyProtection="1">
      <alignment horizontal="center" vertical="center" wrapText="1"/>
      <protection locked="0"/>
    </xf>
    <xf numFmtId="0" fontId="6" fillId="3" borderId="49" xfId="0" applyFont="1" applyFill="1" applyBorder="1" applyAlignment="1" applyProtection="1">
      <alignment horizontal="center" vertical="center" wrapText="1"/>
      <protection locked="0"/>
    </xf>
    <xf numFmtId="178" fontId="5" fillId="3" borderId="2" xfId="0" applyNumberFormat="1" applyFont="1" applyFill="1" applyBorder="1" applyAlignment="1" applyProtection="1">
      <alignment horizontal="center" vertical="center"/>
    </xf>
    <xf numFmtId="178" fontId="5" fillId="3" borderId="6" xfId="0" applyNumberFormat="1" applyFont="1" applyFill="1" applyBorder="1" applyAlignment="1" applyProtection="1">
      <alignment horizontal="center" vertical="center"/>
    </xf>
    <xf numFmtId="178" fontId="5" fillId="3" borderId="10" xfId="0" applyNumberFormat="1" applyFont="1" applyFill="1" applyBorder="1" applyAlignment="1" applyProtection="1">
      <alignment horizontal="center" vertical="center"/>
    </xf>
    <xf numFmtId="178" fontId="5" fillId="3" borderId="4" xfId="0" applyNumberFormat="1" applyFont="1" applyFill="1" applyBorder="1" applyAlignment="1" applyProtection="1">
      <alignment horizontal="center" vertical="center"/>
    </xf>
    <xf numFmtId="178" fontId="5" fillId="3" borderId="7" xfId="0" applyNumberFormat="1" applyFont="1" applyFill="1" applyBorder="1" applyAlignment="1" applyProtection="1">
      <alignment horizontal="center" vertical="center"/>
    </xf>
    <xf numFmtId="178" fontId="5" fillId="3" borderId="12" xfId="0" applyNumberFormat="1" applyFont="1" applyFill="1" applyBorder="1" applyAlignment="1" applyProtection="1">
      <alignment horizontal="center" vertical="center"/>
    </xf>
    <xf numFmtId="199" fontId="5" fillId="3" borderId="2" xfId="0" applyNumberFormat="1" applyFont="1" applyFill="1" applyBorder="1" applyAlignment="1" applyProtection="1">
      <alignment horizontal="right" vertical="center"/>
      <protection locked="0"/>
    </xf>
    <xf numFmtId="199" fontId="5" fillId="3" borderId="6" xfId="0" applyNumberFormat="1" applyFont="1" applyFill="1" applyBorder="1" applyAlignment="1" applyProtection="1">
      <alignment horizontal="right" vertical="center"/>
      <protection locked="0"/>
    </xf>
    <xf numFmtId="199" fontId="5" fillId="3" borderId="10" xfId="0" applyNumberFormat="1" applyFont="1" applyFill="1" applyBorder="1" applyAlignment="1" applyProtection="1">
      <alignment horizontal="right" vertical="center"/>
      <protection locked="0"/>
    </xf>
    <xf numFmtId="199" fontId="5" fillId="3" borderId="4" xfId="0" applyNumberFormat="1" applyFont="1" applyFill="1" applyBorder="1" applyAlignment="1" applyProtection="1">
      <alignment horizontal="right" vertical="center"/>
      <protection locked="0"/>
    </xf>
    <xf numFmtId="199" fontId="5" fillId="3" borderId="7" xfId="0" applyNumberFormat="1" applyFont="1" applyFill="1" applyBorder="1" applyAlignment="1" applyProtection="1">
      <alignment horizontal="right" vertical="center"/>
      <protection locked="0"/>
    </xf>
    <xf numFmtId="199" fontId="5" fillId="3" borderId="12" xfId="0" applyNumberFormat="1" applyFont="1" applyFill="1" applyBorder="1" applyAlignment="1" applyProtection="1">
      <alignment horizontal="right" vertical="center"/>
      <protection locked="0"/>
    </xf>
    <xf numFmtId="199" fontId="5" fillId="0" borderId="2" xfId="0" applyNumberFormat="1" applyFont="1" applyFill="1" applyBorder="1" applyAlignment="1" applyProtection="1">
      <alignment horizontal="right" vertical="center"/>
    </xf>
    <xf numFmtId="199" fontId="5" fillId="0" borderId="6" xfId="0" applyNumberFormat="1" applyFont="1" applyFill="1" applyBorder="1" applyAlignment="1" applyProtection="1">
      <alignment horizontal="right" vertical="center"/>
    </xf>
    <xf numFmtId="199" fontId="5" fillId="0" borderId="46" xfId="0" applyNumberFormat="1" applyFont="1" applyFill="1" applyBorder="1" applyAlignment="1" applyProtection="1">
      <alignment horizontal="right" vertical="center"/>
    </xf>
    <xf numFmtId="199" fontId="5" fillId="0" borderId="4" xfId="0" applyNumberFormat="1" applyFont="1" applyFill="1" applyBorder="1" applyAlignment="1" applyProtection="1">
      <alignment horizontal="right" vertical="center"/>
    </xf>
    <xf numFmtId="199" fontId="5" fillId="0" borderId="7" xfId="0" applyNumberFormat="1" applyFont="1" applyFill="1" applyBorder="1" applyAlignment="1" applyProtection="1">
      <alignment horizontal="right" vertical="center"/>
    </xf>
    <xf numFmtId="199" fontId="5" fillId="0" borderId="58" xfId="0" applyNumberFormat="1" applyFont="1" applyFill="1" applyBorder="1" applyAlignment="1" applyProtection="1">
      <alignment horizontal="right" vertical="center"/>
    </xf>
    <xf numFmtId="176" fontId="5" fillId="0" borderId="45" xfId="1" applyNumberFormat="1" applyFont="1" applyBorder="1" applyAlignment="1" applyProtection="1">
      <alignment horizontal="center" vertical="center" wrapText="1"/>
    </xf>
    <xf numFmtId="176" fontId="5" fillId="0" borderId="6" xfId="1" applyNumberFormat="1" applyFont="1" applyBorder="1" applyAlignment="1" applyProtection="1">
      <alignment horizontal="center" vertical="center" wrapText="1"/>
    </xf>
    <xf numFmtId="176" fontId="5" fillId="0" borderId="46" xfId="1" applyNumberFormat="1" applyFont="1" applyBorder="1" applyAlignment="1" applyProtection="1">
      <alignment horizontal="center" vertical="center" wrapText="1"/>
    </xf>
    <xf numFmtId="176" fontId="5" fillId="0" borderId="47" xfId="1" applyNumberFormat="1" applyFont="1" applyBorder="1" applyAlignment="1" applyProtection="1">
      <alignment horizontal="center" vertical="center" wrapText="1"/>
    </xf>
    <xf numFmtId="176" fontId="5" fillId="0" borderId="48" xfId="1" applyNumberFormat="1" applyFont="1" applyBorder="1" applyAlignment="1" applyProtection="1">
      <alignment horizontal="center" vertical="center" wrapText="1"/>
    </xf>
    <xf numFmtId="176" fontId="5" fillId="0" borderId="49" xfId="1" applyNumberFormat="1" applyFont="1" applyBorder="1" applyAlignment="1" applyProtection="1">
      <alignment horizontal="center" vertical="center" wrapText="1"/>
    </xf>
    <xf numFmtId="0" fontId="8" fillId="0" borderId="0" xfId="0" applyFont="1" applyBorder="1" applyAlignment="1" applyProtection="1">
      <alignment vertical="center" wrapText="1"/>
    </xf>
    <xf numFmtId="0" fontId="8" fillId="0" borderId="11" xfId="0" applyFont="1" applyBorder="1" applyAlignment="1" applyProtection="1">
      <alignment vertical="center" wrapText="1"/>
    </xf>
    <xf numFmtId="0" fontId="8" fillId="0" borderId="7" xfId="0" applyFont="1" applyBorder="1" applyAlignment="1" applyProtection="1">
      <alignment vertical="center" wrapText="1"/>
    </xf>
    <xf numFmtId="0" fontId="8" fillId="0" borderId="12" xfId="0" applyFont="1" applyBorder="1" applyAlignment="1" applyProtection="1">
      <alignment vertical="center" wrapText="1"/>
    </xf>
    <xf numFmtId="0" fontId="6" fillId="4" borderId="2" xfId="0" applyFont="1" applyFill="1" applyBorder="1" applyAlignment="1" applyProtection="1">
      <alignment horizontal="center" vertical="center" shrinkToFit="1"/>
    </xf>
    <xf numFmtId="0" fontId="6" fillId="4" borderId="6" xfId="0" applyFont="1" applyFill="1" applyBorder="1" applyAlignment="1" applyProtection="1">
      <alignment horizontal="center" vertical="center" shrinkToFit="1"/>
    </xf>
    <xf numFmtId="0" fontId="6" fillId="4" borderId="10" xfId="0" applyFont="1" applyFill="1" applyBorder="1" applyAlignment="1" applyProtection="1">
      <alignment horizontal="center" vertical="center" shrinkToFit="1"/>
    </xf>
    <xf numFmtId="190" fontId="5" fillId="4" borderId="1" xfId="0" applyNumberFormat="1" applyFont="1" applyFill="1" applyBorder="1" applyAlignment="1" applyProtection="1">
      <alignment horizontal="right" vertical="center"/>
      <protection locked="0"/>
    </xf>
    <xf numFmtId="190" fontId="5" fillId="4" borderId="5" xfId="0" applyNumberFormat="1" applyFont="1" applyFill="1" applyBorder="1" applyAlignment="1" applyProtection="1">
      <alignment horizontal="right" vertical="center"/>
      <protection locked="0"/>
    </xf>
    <xf numFmtId="197" fontId="5" fillId="4" borderId="1" xfId="0" applyNumberFormat="1" applyFont="1" applyFill="1" applyBorder="1" applyAlignment="1" applyProtection="1">
      <alignment horizontal="right" vertical="center"/>
      <protection locked="0"/>
    </xf>
    <xf numFmtId="197" fontId="5" fillId="4" borderId="5" xfId="0" applyNumberFormat="1" applyFont="1" applyFill="1" applyBorder="1" applyAlignment="1" applyProtection="1">
      <alignment horizontal="right" vertical="center"/>
      <protection locked="0"/>
    </xf>
    <xf numFmtId="197" fontId="5" fillId="4" borderId="9" xfId="0" applyNumberFormat="1" applyFont="1" applyFill="1" applyBorder="1" applyAlignment="1" applyProtection="1">
      <alignment horizontal="right" vertical="center"/>
      <protection locked="0"/>
    </xf>
    <xf numFmtId="0" fontId="5" fillId="0" borderId="4" xfId="0" applyFont="1" applyFill="1" applyBorder="1" applyAlignment="1" applyProtection="1">
      <alignment horizontal="center" vertical="top"/>
    </xf>
    <xf numFmtId="0" fontId="5" fillId="0" borderId="12" xfId="0" applyFont="1" applyFill="1" applyBorder="1" applyAlignment="1" applyProtection="1">
      <alignment horizontal="center" vertical="top"/>
    </xf>
    <xf numFmtId="0" fontId="6" fillId="0" borderId="1" xfId="0" applyFont="1" applyFill="1" applyBorder="1" applyAlignment="1" applyProtection="1">
      <alignment horizontal="center" vertical="center" shrinkToFit="1"/>
    </xf>
    <xf numFmtId="0" fontId="6" fillId="0" borderId="5" xfId="0" applyFont="1" applyFill="1" applyBorder="1" applyAlignment="1" applyProtection="1">
      <alignment horizontal="center" vertical="center" shrinkToFit="1"/>
    </xf>
    <xf numFmtId="0" fontId="6" fillId="0" borderId="9" xfId="0" applyFont="1" applyFill="1" applyBorder="1" applyAlignment="1" applyProtection="1">
      <alignment horizontal="center" vertical="center" shrinkToFit="1"/>
    </xf>
    <xf numFmtId="196" fontId="5" fillId="0" borderId="1" xfId="0" applyNumberFormat="1" applyFont="1" applyBorder="1" applyAlignment="1" applyProtection="1">
      <alignment horizontal="right" vertical="center"/>
    </xf>
    <xf numFmtId="196" fontId="5" fillId="0" borderId="5" xfId="0" applyNumberFormat="1" applyFont="1" applyBorder="1" applyAlignment="1" applyProtection="1">
      <alignment horizontal="right" vertical="center"/>
    </xf>
    <xf numFmtId="196" fontId="5" fillId="0" borderId="9" xfId="0" applyNumberFormat="1" applyFont="1" applyBorder="1" applyAlignment="1" applyProtection="1">
      <alignment horizontal="right" vertical="center"/>
    </xf>
    <xf numFmtId="0" fontId="5" fillId="0" borderId="3" xfId="0" applyFont="1" applyFill="1" applyBorder="1" applyAlignment="1" applyProtection="1">
      <alignment horizontal="center" vertical="center"/>
    </xf>
    <xf numFmtId="0" fontId="5" fillId="0" borderId="11" xfId="0" applyFont="1" applyFill="1" applyBorder="1" applyAlignment="1" applyProtection="1">
      <alignment horizontal="center" vertical="center"/>
    </xf>
    <xf numFmtId="198" fontId="5" fillId="0" borderId="1" xfId="0" applyNumberFormat="1" applyFont="1" applyBorder="1" applyAlignment="1" applyProtection="1">
      <alignment horizontal="right" vertical="center"/>
    </xf>
    <xf numFmtId="198" fontId="5" fillId="0" borderId="5" xfId="0" applyNumberFormat="1" applyFont="1" applyBorder="1" applyAlignment="1" applyProtection="1">
      <alignment horizontal="right" vertical="center"/>
    </xf>
    <xf numFmtId="198" fontId="5" fillId="0" borderId="9" xfId="0" applyNumberFormat="1" applyFont="1" applyBorder="1" applyAlignment="1" applyProtection="1">
      <alignment horizontal="right" vertical="center"/>
    </xf>
    <xf numFmtId="178" fontId="5" fillId="4" borderId="2" xfId="0" applyNumberFormat="1" applyFont="1" applyFill="1" applyBorder="1" applyAlignment="1" applyProtection="1">
      <alignment horizontal="center" vertical="center"/>
    </xf>
    <xf numFmtId="178" fontId="5" fillId="4" borderId="6" xfId="0" applyNumberFormat="1" applyFont="1" applyFill="1" applyBorder="1" applyAlignment="1" applyProtection="1">
      <alignment horizontal="center" vertical="center"/>
    </xf>
    <xf numFmtId="178" fontId="5" fillId="4" borderId="10" xfId="0" applyNumberFormat="1" applyFont="1" applyFill="1" applyBorder="1" applyAlignment="1" applyProtection="1">
      <alignment horizontal="center" vertical="center"/>
    </xf>
    <xf numFmtId="178" fontId="5" fillId="4" borderId="3" xfId="0" applyNumberFormat="1" applyFont="1" applyFill="1" applyBorder="1" applyAlignment="1" applyProtection="1">
      <alignment horizontal="center" vertical="center"/>
    </xf>
    <xf numFmtId="178" fontId="5" fillId="4" borderId="0" xfId="0" applyNumberFormat="1" applyFont="1" applyFill="1" applyBorder="1" applyAlignment="1" applyProtection="1">
      <alignment horizontal="center" vertical="center"/>
    </xf>
    <xf numFmtId="178" fontId="5" fillId="4" borderId="11" xfId="0" applyNumberFormat="1" applyFont="1" applyFill="1" applyBorder="1" applyAlignment="1" applyProtection="1">
      <alignment horizontal="center" vertical="center"/>
    </xf>
    <xf numFmtId="178" fontId="5" fillId="4" borderId="4" xfId="0" applyNumberFormat="1" applyFont="1" applyFill="1" applyBorder="1" applyAlignment="1" applyProtection="1">
      <alignment horizontal="center" vertical="center"/>
    </xf>
    <xf numFmtId="178" fontId="5" fillId="4" borderId="7" xfId="0" applyNumberFormat="1" applyFont="1" applyFill="1" applyBorder="1" applyAlignment="1" applyProtection="1">
      <alignment horizontal="center" vertical="center"/>
    </xf>
    <xf numFmtId="178" fontId="5" fillId="4" borderId="12" xfId="0" applyNumberFormat="1" applyFont="1" applyFill="1" applyBorder="1" applyAlignment="1" applyProtection="1">
      <alignment horizontal="center" vertical="center"/>
    </xf>
    <xf numFmtId="0" fontId="5" fillId="0" borderId="2" xfId="0" applyFont="1" applyFill="1" applyBorder="1" applyAlignment="1" applyProtection="1">
      <alignment horizontal="center"/>
    </xf>
    <xf numFmtId="0" fontId="5" fillId="0" borderId="10" xfId="0" applyFont="1" applyFill="1" applyBorder="1" applyAlignment="1" applyProtection="1">
      <alignment horizontal="center"/>
    </xf>
    <xf numFmtId="177" fontId="5" fillId="0" borderId="50" xfId="0" applyNumberFormat="1" applyFont="1" applyBorder="1" applyAlignment="1" applyProtection="1">
      <alignment horizontal="right" vertical="center"/>
    </xf>
    <xf numFmtId="177" fontId="5" fillId="0" borderId="51" xfId="0" applyNumberFormat="1" applyFont="1" applyBorder="1" applyAlignment="1" applyProtection="1">
      <alignment horizontal="right" vertical="center"/>
    </xf>
    <xf numFmtId="184" fontId="6" fillId="0" borderId="1" xfId="0" applyNumberFormat="1" applyFont="1" applyBorder="1" applyAlignment="1" applyProtection="1">
      <alignment horizontal="center" vertical="center"/>
    </xf>
    <xf numFmtId="184" fontId="6" fillId="0" borderId="5" xfId="0" applyNumberFormat="1" applyFont="1" applyBorder="1" applyAlignment="1" applyProtection="1">
      <alignment horizontal="center" vertical="center"/>
    </xf>
    <xf numFmtId="184" fontId="6" fillId="0" borderId="9" xfId="0" applyNumberFormat="1" applyFont="1" applyBorder="1" applyAlignment="1" applyProtection="1">
      <alignment horizontal="center" vertical="center"/>
    </xf>
    <xf numFmtId="181" fontId="5" fillId="4" borderId="5" xfId="0" applyNumberFormat="1" applyFont="1" applyFill="1" applyBorder="1" applyAlignment="1" applyProtection="1">
      <alignment horizontal="right" vertical="center"/>
      <protection locked="0"/>
    </xf>
    <xf numFmtId="182" fontId="5" fillId="4" borderId="5" xfId="0" applyNumberFormat="1" applyFont="1" applyFill="1" applyBorder="1" applyAlignment="1" applyProtection="1">
      <alignment horizontal="right" vertical="center"/>
      <protection locked="0"/>
    </xf>
    <xf numFmtId="182" fontId="5" fillId="4" borderId="9" xfId="0" applyNumberFormat="1" applyFont="1" applyFill="1" applyBorder="1" applyAlignment="1" applyProtection="1">
      <alignment horizontal="right" vertical="center"/>
      <protection locked="0"/>
    </xf>
    <xf numFmtId="0" fontId="6" fillId="4" borderId="2" xfId="0" applyFont="1" applyFill="1" applyBorder="1" applyAlignment="1" applyProtection="1">
      <alignment horizontal="center" vertical="center" shrinkToFit="1"/>
      <protection locked="0"/>
    </xf>
    <xf numFmtId="0" fontId="6" fillId="4" borderId="6" xfId="0" applyFont="1" applyFill="1" applyBorder="1" applyAlignment="1" applyProtection="1">
      <alignment horizontal="center" vertical="center" shrinkToFit="1"/>
      <protection locked="0"/>
    </xf>
    <xf numFmtId="0" fontId="6" fillId="4" borderId="10" xfId="0" applyFont="1" applyFill="1" applyBorder="1" applyAlignment="1" applyProtection="1">
      <alignment horizontal="center" vertical="center" shrinkToFit="1"/>
      <protection locked="0"/>
    </xf>
    <xf numFmtId="0" fontId="6" fillId="0" borderId="61" xfId="0" applyFont="1" applyBorder="1" applyAlignment="1" applyProtection="1">
      <alignment horizontal="center" vertical="center"/>
    </xf>
    <xf numFmtId="0" fontId="6" fillId="0" borderId="62" xfId="0" applyFont="1" applyBorder="1" applyAlignment="1" applyProtection="1">
      <alignment horizontal="center" vertical="center"/>
    </xf>
    <xf numFmtId="0" fontId="6" fillId="0" borderId="90" xfId="0" applyFont="1" applyBorder="1" applyAlignment="1" applyProtection="1">
      <alignment horizontal="center" vertical="center"/>
    </xf>
    <xf numFmtId="0" fontId="6" fillId="4" borderId="91" xfId="0" applyFont="1" applyFill="1" applyBorder="1" applyAlignment="1" applyProtection="1">
      <alignment horizontal="center" vertical="center" wrapText="1"/>
      <protection locked="0"/>
    </xf>
    <xf numFmtId="0" fontId="6" fillId="4" borderId="62" xfId="0" applyFont="1" applyFill="1" applyBorder="1" applyAlignment="1" applyProtection="1">
      <alignment horizontal="center" vertical="center" wrapText="1"/>
      <protection locked="0"/>
    </xf>
    <xf numFmtId="0" fontId="6" fillId="4" borderId="63" xfId="0" applyFont="1" applyFill="1" applyBorder="1" applyAlignment="1" applyProtection="1">
      <alignment horizontal="center" vertical="center" wrapText="1"/>
      <protection locked="0"/>
    </xf>
    <xf numFmtId="0" fontId="9" fillId="0" borderId="0" xfId="0" applyFont="1" applyAlignment="1" applyProtection="1">
      <alignment horizontal="left" vertical="center" wrapText="1"/>
    </xf>
    <xf numFmtId="0" fontId="9" fillId="0" borderId="0" xfId="0" applyFont="1" applyAlignment="1" applyProtection="1">
      <alignment horizontal="left" vertical="center"/>
    </xf>
    <xf numFmtId="0" fontId="6" fillId="4" borderId="3" xfId="0" applyFont="1" applyFill="1" applyBorder="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0" fontId="6" fillId="4" borderId="4" xfId="0" applyFont="1" applyFill="1" applyBorder="1" applyAlignment="1" applyProtection="1">
      <alignment horizontal="center" vertical="center" shrinkToFit="1"/>
      <protection locked="0"/>
    </xf>
    <xf numFmtId="0" fontId="6" fillId="4" borderId="7" xfId="0" applyFont="1" applyFill="1" applyBorder="1" applyAlignment="1" applyProtection="1">
      <alignment horizontal="center" vertical="center" shrinkToFit="1"/>
      <protection locked="0"/>
    </xf>
    <xf numFmtId="0" fontId="6" fillId="4" borderId="12" xfId="0" applyFont="1" applyFill="1" applyBorder="1" applyAlignment="1" applyProtection="1">
      <alignment horizontal="center" vertical="center" shrinkToFit="1"/>
      <protection locked="0"/>
    </xf>
    <xf numFmtId="182" fontId="5" fillId="4" borderId="0" xfId="0" applyNumberFormat="1" applyFont="1" applyFill="1" applyBorder="1" applyAlignment="1" applyProtection="1">
      <alignment horizontal="right" vertical="center"/>
      <protection locked="0"/>
    </xf>
    <xf numFmtId="182" fontId="5" fillId="4" borderId="11" xfId="0" applyNumberFormat="1" applyFont="1" applyFill="1" applyBorder="1" applyAlignment="1" applyProtection="1">
      <alignment horizontal="right" vertical="center"/>
      <protection locked="0"/>
    </xf>
    <xf numFmtId="181" fontId="5" fillId="4" borderId="4" xfId="0" applyNumberFormat="1" applyFont="1" applyFill="1" applyBorder="1" applyAlignment="1" applyProtection="1">
      <alignment horizontal="right" vertical="center"/>
      <protection locked="0"/>
    </xf>
    <xf numFmtId="181" fontId="5" fillId="4" borderId="7" xfId="0" applyNumberFormat="1" applyFont="1" applyFill="1" applyBorder="1" applyAlignment="1" applyProtection="1">
      <alignment horizontal="right" vertical="center"/>
      <protection locked="0"/>
    </xf>
    <xf numFmtId="177" fontId="5" fillId="0" borderId="57" xfId="0" applyNumberFormat="1" applyFont="1" applyBorder="1" applyAlignment="1" applyProtection="1">
      <alignment horizontal="right" vertical="center"/>
    </xf>
    <xf numFmtId="177" fontId="5" fillId="0" borderId="58" xfId="0" applyNumberFormat="1" applyFont="1" applyBorder="1" applyAlignment="1" applyProtection="1">
      <alignment horizontal="right" vertical="center"/>
    </xf>
    <xf numFmtId="0" fontId="6" fillId="0" borderId="59" xfId="0" applyFont="1" applyFill="1" applyBorder="1" applyAlignment="1" applyProtection="1">
      <alignment horizontal="center" vertical="center" wrapText="1"/>
    </xf>
    <xf numFmtId="0" fontId="6" fillId="0" borderId="60" xfId="0" applyFont="1" applyFill="1" applyBorder="1" applyAlignment="1" applyProtection="1">
      <alignment horizontal="center" vertical="center" wrapText="1"/>
    </xf>
    <xf numFmtId="182" fontId="5" fillId="4" borderId="6" xfId="0" applyNumberFormat="1" applyFont="1" applyFill="1" applyBorder="1" applyAlignment="1" applyProtection="1">
      <alignment horizontal="right" vertical="center"/>
      <protection locked="0"/>
    </xf>
    <xf numFmtId="182" fontId="5" fillId="4" borderId="10" xfId="0" applyNumberFormat="1" applyFont="1" applyFill="1" applyBorder="1" applyAlignment="1" applyProtection="1">
      <alignment horizontal="right" vertical="center"/>
      <protection locked="0"/>
    </xf>
    <xf numFmtId="181" fontId="5" fillId="4" borderId="2" xfId="0" applyNumberFormat="1" applyFont="1" applyFill="1" applyBorder="1" applyAlignment="1" applyProtection="1">
      <alignment horizontal="right" vertical="center"/>
      <protection locked="0"/>
    </xf>
    <xf numFmtId="181" fontId="5" fillId="4" borderId="6" xfId="0" applyNumberFormat="1" applyFont="1" applyFill="1" applyBorder="1" applyAlignment="1" applyProtection="1">
      <alignment horizontal="right" vertical="center"/>
      <protection locked="0"/>
    </xf>
    <xf numFmtId="177" fontId="5" fillId="0" borderId="45" xfId="0" applyNumberFormat="1" applyFont="1" applyBorder="1" applyAlignment="1" applyProtection="1">
      <alignment horizontal="right" vertical="center"/>
    </xf>
    <xf numFmtId="177" fontId="5" fillId="0" borderId="46" xfId="0" applyNumberFormat="1" applyFont="1" applyBorder="1" applyAlignment="1" applyProtection="1">
      <alignment horizontal="right" vertical="center"/>
    </xf>
    <xf numFmtId="183" fontId="5" fillId="0" borderId="45" xfId="0" applyNumberFormat="1" applyFont="1" applyBorder="1" applyAlignment="1" applyProtection="1">
      <alignment horizontal="right" vertical="center"/>
    </xf>
    <xf numFmtId="183" fontId="5" fillId="0" borderId="46" xfId="0" applyNumberFormat="1" applyFont="1" applyBorder="1" applyAlignment="1" applyProtection="1">
      <alignment horizontal="right" vertical="center"/>
    </xf>
    <xf numFmtId="177" fontId="5" fillId="0" borderId="42" xfId="0" applyNumberFormat="1" applyFont="1" applyBorder="1" applyAlignment="1" applyProtection="1">
      <alignment horizontal="right" vertical="center"/>
    </xf>
    <xf numFmtId="177" fontId="5" fillId="0" borderId="44" xfId="0" applyNumberFormat="1" applyFont="1" applyBorder="1" applyAlignment="1" applyProtection="1">
      <alignment horizontal="right" vertical="center"/>
    </xf>
    <xf numFmtId="177" fontId="5" fillId="0" borderId="52" xfId="0" applyNumberFormat="1" applyFont="1" applyBorder="1" applyAlignment="1" applyProtection="1">
      <alignment horizontal="right" vertical="center"/>
    </xf>
    <xf numFmtId="177" fontId="5" fillId="0" borderId="54" xfId="0" applyNumberFormat="1" applyFont="1" applyBorder="1" applyAlignment="1" applyProtection="1">
      <alignment horizontal="right" vertical="center"/>
    </xf>
    <xf numFmtId="0" fontId="6" fillId="0" borderId="55" xfId="0" applyFont="1" applyFill="1" applyBorder="1" applyAlignment="1" applyProtection="1">
      <alignment horizontal="center" vertical="center" wrapText="1"/>
    </xf>
    <xf numFmtId="0" fontId="6" fillId="0" borderId="56" xfId="0" applyFont="1" applyFill="1" applyBorder="1" applyAlignment="1" applyProtection="1">
      <alignment horizontal="center" vertical="center" wrapText="1"/>
    </xf>
    <xf numFmtId="0" fontId="6" fillId="0" borderId="47" xfId="0" applyFont="1" applyFill="1" applyBorder="1" applyAlignment="1" applyProtection="1">
      <alignment horizontal="center" vertical="center" wrapText="1"/>
    </xf>
    <xf numFmtId="0" fontId="6" fillId="0" borderId="49" xfId="0" applyFont="1" applyFill="1" applyBorder="1" applyAlignment="1" applyProtection="1">
      <alignment horizontal="center" vertical="center" wrapText="1"/>
    </xf>
    <xf numFmtId="181" fontId="5" fillId="3" borderId="5" xfId="0" applyNumberFormat="1" applyFont="1" applyFill="1" applyBorder="1" applyAlignment="1" applyProtection="1">
      <alignment horizontal="right" vertical="center"/>
      <protection locked="0"/>
    </xf>
    <xf numFmtId="183" fontId="5" fillId="0" borderId="50" xfId="0" applyNumberFormat="1" applyFont="1" applyBorder="1" applyAlignment="1" applyProtection="1">
      <alignment horizontal="right" vertical="center"/>
    </xf>
    <xf numFmtId="183" fontId="5" fillId="0" borderId="51" xfId="0" applyNumberFormat="1" applyFont="1" applyBorder="1" applyAlignment="1" applyProtection="1">
      <alignment horizontal="right" vertical="center"/>
    </xf>
    <xf numFmtId="182" fontId="5" fillId="3" borderId="1" xfId="0" applyNumberFormat="1" applyFont="1" applyFill="1" applyBorder="1" applyAlignment="1" applyProtection="1">
      <alignment horizontal="right" vertical="center"/>
      <protection locked="0"/>
    </xf>
    <xf numFmtId="182" fontId="5" fillId="3" borderId="5" xfId="0" applyNumberFormat="1" applyFont="1" applyFill="1" applyBorder="1" applyAlignment="1" applyProtection="1">
      <alignment horizontal="right" vertical="center"/>
      <protection locked="0"/>
    </xf>
    <xf numFmtId="182" fontId="5" fillId="3" borderId="9" xfId="0" applyNumberFormat="1" applyFont="1" applyFill="1" applyBorder="1" applyAlignment="1" applyProtection="1">
      <alignment horizontal="right" vertical="center"/>
      <protection locked="0"/>
    </xf>
    <xf numFmtId="0" fontId="6" fillId="0" borderId="45" xfId="0" applyFont="1" applyFill="1" applyBorder="1" applyAlignment="1" applyProtection="1">
      <alignment horizontal="center" vertical="center" wrapText="1"/>
    </xf>
    <xf numFmtId="0" fontId="6" fillId="0" borderId="46" xfId="0" applyFont="1" applyFill="1" applyBorder="1" applyAlignment="1" applyProtection="1">
      <alignment horizontal="center" vertical="center" wrapText="1"/>
    </xf>
    <xf numFmtId="0" fontId="6" fillId="0" borderId="55" xfId="0" applyFont="1" applyBorder="1" applyAlignment="1" applyProtection="1">
      <alignment horizontal="center" vertical="center" wrapText="1"/>
    </xf>
    <xf numFmtId="0" fontId="6" fillId="0" borderId="56" xfId="0" applyFont="1" applyBorder="1" applyAlignment="1" applyProtection="1">
      <alignment horizontal="center" vertical="center"/>
    </xf>
    <xf numFmtId="0" fontId="6" fillId="3" borderId="91" xfId="0" applyFont="1" applyFill="1" applyBorder="1" applyAlignment="1" applyProtection="1">
      <alignment horizontal="center" vertical="center" wrapText="1"/>
      <protection locked="0"/>
    </xf>
    <xf numFmtId="0" fontId="6" fillId="3" borderId="62" xfId="0" applyFont="1" applyFill="1" applyBorder="1" applyAlignment="1" applyProtection="1">
      <alignment horizontal="center" vertical="center" wrapText="1"/>
      <protection locked="0"/>
    </xf>
    <xf numFmtId="0" fontId="6" fillId="3" borderId="63" xfId="0" applyFont="1" applyFill="1" applyBorder="1" applyAlignment="1" applyProtection="1">
      <alignment horizontal="center" vertical="center" wrapText="1"/>
      <protection locked="0"/>
    </xf>
    <xf numFmtId="0" fontId="6" fillId="0" borderId="0" xfId="0" applyFont="1" applyAlignment="1" applyProtection="1">
      <alignment horizontal="left" vertical="center" wrapText="1"/>
    </xf>
    <xf numFmtId="182" fontId="5" fillId="3" borderId="2" xfId="0" applyNumberFormat="1" applyFont="1" applyFill="1" applyBorder="1" applyAlignment="1" applyProtection="1">
      <alignment horizontal="right" vertical="center"/>
      <protection locked="0"/>
    </xf>
    <xf numFmtId="182" fontId="5" fillId="3" borderId="6" xfId="0" applyNumberFormat="1" applyFont="1" applyFill="1" applyBorder="1" applyAlignment="1" applyProtection="1">
      <alignment horizontal="right" vertical="center"/>
      <protection locked="0"/>
    </xf>
    <xf numFmtId="182" fontId="5" fillId="3" borderId="10" xfId="0" applyNumberFormat="1" applyFont="1" applyFill="1" applyBorder="1" applyAlignment="1" applyProtection="1">
      <alignment horizontal="right" vertical="center"/>
      <protection locked="0"/>
    </xf>
    <xf numFmtId="181" fontId="5" fillId="3" borderId="2" xfId="0" applyNumberFormat="1" applyFont="1" applyFill="1" applyBorder="1" applyAlignment="1" applyProtection="1">
      <alignment horizontal="right" vertical="center"/>
      <protection locked="0"/>
    </xf>
    <xf numFmtId="181" fontId="5" fillId="3" borderId="6" xfId="0" applyNumberFormat="1" applyFont="1" applyFill="1" applyBorder="1" applyAlignment="1" applyProtection="1">
      <alignment horizontal="right" vertical="center"/>
      <protection locked="0"/>
    </xf>
    <xf numFmtId="0" fontId="6" fillId="3" borderId="2" xfId="0" applyFont="1" applyFill="1" applyBorder="1" applyAlignment="1" applyProtection="1">
      <alignment horizontal="center" vertical="center" shrinkToFit="1"/>
      <protection locked="0"/>
    </xf>
    <xf numFmtId="0" fontId="6" fillId="3" borderId="6" xfId="0" applyFont="1" applyFill="1" applyBorder="1" applyAlignment="1" applyProtection="1">
      <alignment horizontal="center" vertical="center" shrinkToFit="1"/>
      <protection locked="0"/>
    </xf>
    <xf numFmtId="0" fontId="6" fillId="3" borderId="10" xfId="0" applyFont="1" applyFill="1" applyBorder="1" applyAlignment="1" applyProtection="1">
      <alignment horizontal="center" vertical="center" shrinkToFit="1"/>
      <protection locked="0"/>
    </xf>
    <xf numFmtId="0" fontId="6" fillId="3" borderId="3" xfId="0" applyFont="1" applyFill="1" applyBorder="1" applyAlignment="1" applyProtection="1">
      <alignment horizontal="center" vertical="center" shrinkToFit="1"/>
      <protection locked="0"/>
    </xf>
    <xf numFmtId="0" fontId="6" fillId="3" borderId="0" xfId="0" applyFont="1" applyFill="1" applyBorder="1" applyAlignment="1" applyProtection="1">
      <alignment horizontal="center" vertical="center" shrinkToFit="1"/>
      <protection locked="0"/>
    </xf>
    <xf numFmtId="0" fontId="6" fillId="3" borderId="11" xfId="0" applyFont="1" applyFill="1" applyBorder="1" applyAlignment="1" applyProtection="1">
      <alignment horizontal="center" vertical="center" shrinkToFit="1"/>
      <protection locked="0"/>
    </xf>
    <xf numFmtId="0" fontId="6" fillId="3" borderId="4" xfId="0" applyFont="1" applyFill="1" applyBorder="1" applyAlignment="1" applyProtection="1">
      <alignment horizontal="center" vertical="center" shrinkToFit="1"/>
      <protection locked="0"/>
    </xf>
    <xf numFmtId="0" fontId="6" fillId="3" borderId="7" xfId="0" applyFont="1" applyFill="1" applyBorder="1" applyAlignment="1" applyProtection="1">
      <alignment horizontal="center" vertical="center" shrinkToFit="1"/>
      <protection locked="0"/>
    </xf>
    <xf numFmtId="0" fontId="6" fillId="3" borderId="12" xfId="0" applyFont="1" applyFill="1" applyBorder="1" applyAlignment="1" applyProtection="1">
      <alignment horizontal="center" vertical="center" shrinkToFit="1"/>
      <protection locked="0"/>
    </xf>
    <xf numFmtId="183" fontId="5" fillId="0" borderId="42" xfId="0" applyNumberFormat="1" applyFont="1" applyBorder="1" applyAlignment="1" applyProtection="1">
      <alignment horizontal="right" vertical="center"/>
    </xf>
    <xf numFmtId="183" fontId="5" fillId="0" borderId="44" xfId="0" applyNumberFormat="1" applyFont="1" applyBorder="1" applyAlignment="1" applyProtection="1">
      <alignment horizontal="right" vertical="center"/>
    </xf>
    <xf numFmtId="0" fontId="6" fillId="0" borderId="61" xfId="0" applyFont="1" applyFill="1" applyBorder="1" applyAlignment="1" applyProtection="1">
      <alignment horizontal="center" vertical="center" wrapText="1"/>
    </xf>
    <xf numFmtId="0" fontId="6" fillId="0" borderId="63" xfId="0" applyFont="1" applyFill="1" applyBorder="1" applyAlignment="1" applyProtection="1">
      <alignment horizontal="center" vertical="center" wrapText="1"/>
    </xf>
    <xf numFmtId="183" fontId="5" fillId="0" borderId="57" xfId="0" applyNumberFormat="1" applyFont="1" applyBorder="1" applyAlignment="1" applyProtection="1">
      <alignment horizontal="right" vertical="center"/>
    </xf>
    <xf numFmtId="183" fontId="5" fillId="0" borderId="58" xfId="0" applyNumberFormat="1" applyFont="1" applyBorder="1" applyAlignment="1" applyProtection="1">
      <alignment horizontal="right" vertical="center"/>
    </xf>
    <xf numFmtId="183" fontId="5" fillId="0" borderId="52" xfId="0" applyNumberFormat="1" applyFont="1" applyBorder="1" applyAlignment="1" applyProtection="1">
      <alignment horizontal="right" vertical="center"/>
    </xf>
    <xf numFmtId="183" fontId="5" fillId="0" borderId="54" xfId="0" applyNumberFormat="1" applyFont="1" applyBorder="1" applyAlignment="1" applyProtection="1">
      <alignment horizontal="right" vertical="center"/>
    </xf>
    <xf numFmtId="0" fontId="6" fillId="0" borderId="61" xfId="0" applyFont="1" applyBorder="1" applyAlignment="1" applyProtection="1">
      <alignment horizontal="center" vertical="center" wrapText="1"/>
    </xf>
    <xf numFmtId="0" fontId="6" fillId="0" borderId="63" xfId="0" applyFont="1" applyBorder="1" applyAlignment="1" applyProtection="1">
      <alignment horizontal="center" vertical="center"/>
    </xf>
    <xf numFmtId="189" fontId="5" fillId="4" borderId="1" xfId="0" applyNumberFormat="1" applyFont="1" applyFill="1" applyBorder="1" applyAlignment="1" applyProtection="1">
      <alignment horizontal="right" vertical="center"/>
      <protection locked="0"/>
    </xf>
    <xf numFmtId="189" fontId="5" fillId="4" borderId="5" xfId="0" applyNumberFormat="1" applyFont="1" applyFill="1" applyBorder="1" applyAlignment="1" applyProtection="1">
      <alignment horizontal="right" vertical="center"/>
      <protection locked="0"/>
    </xf>
    <xf numFmtId="189" fontId="5" fillId="4" borderId="9" xfId="0" applyNumberFormat="1" applyFont="1" applyFill="1" applyBorder="1" applyAlignment="1" applyProtection="1">
      <alignment horizontal="right" vertical="center"/>
      <protection locked="0"/>
    </xf>
    <xf numFmtId="193" fontId="5" fillId="0" borderId="1" xfId="0" applyNumberFormat="1" applyFont="1" applyFill="1" applyBorder="1" applyAlignment="1" applyProtection="1">
      <alignment horizontal="right" vertical="center"/>
      <protection locked="0"/>
    </xf>
    <xf numFmtId="193" fontId="5" fillId="0" borderId="5" xfId="0" applyNumberFormat="1" applyFont="1" applyFill="1" applyBorder="1" applyAlignment="1" applyProtection="1">
      <alignment horizontal="right" vertical="center"/>
      <protection locked="0"/>
    </xf>
    <xf numFmtId="193" fontId="5" fillId="0" borderId="9" xfId="0" applyNumberFormat="1" applyFont="1" applyFill="1" applyBorder="1" applyAlignment="1" applyProtection="1">
      <alignment horizontal="right" vertical="center"/>
      <protection locked="0"/>
    </xf>
    <xf numFmtId="0" fontId="6" fillId="0" borderId="2" xfId="0" applyFont="1" applyBorder="1" applyAlignment="1" applyProtection="1">
      <alignment horizontal="center" vertical="center" wrapText="1"/>
    </xf>
    <xf numFmtId="0" fontId="6" fillId="0" borderId="6" xfId="0" applyFont="1" applyBorder="1" applyAlignment="1" applyProtection="1">
      <alignment horizontal="center" vertical="center" wrapText="1"/>
    </xf>
    <xf numFmtId="0" fontId="6" fillId="0" borderId="41" xfId="0" applyFont="1" applyBorder="1" applyAlignment="1" applyProtection="1">
      <alignment horizontal="center" vertical="center" wrapText="1"/>
    </xf>
    <xf numFmtId="0" fontId="6" fillId="0" borderId="56" xfId="0" applyFont="1" applyBorder="1" applyAlignment="1" applyProtection="1">
      <alignment horizontal="center" vertical="center" wrapText="1"/>
    </xf>
    <xf numFmtId="180" fontId="5" fillId="3" borderId="45" xfId="0" applyNumberFormat="1" applyFont="1" applyFill="1" applyBorder="1" applyAlignment="1" applyProtection="1">
      <alignment horizontal="center" vertical="center"/>
      <protection locked="0"/>
    </xf>
    <xf numFmtId="180" fontId="5" fillId="3" borderId="6" xfId="0" applyNumberFormat="1" applyFont="1" applyFill="1" applyBorder="1" applyAlignment="1" applyProtection="1">
      <alignment horizontal="center" vertical="center"/>
      <protection locked="0"/>
    </xf>
    <xf numFmtId="180" fontId="5" fillId="3" borderId="46" xfId="0" applyNumberFormat="1" applyFont="1" applyFill="1" applyBorder="1" applyAlignment="1" applyProtection="1">
      <alignment horizontal="center" vertical="center"/>
      <protection locked="0"/>
    </xf>
    <xf numFmtId="180" fontId="5" fillId="3" borderId="47" xfId="0" applyNumberFormat="1" applyFont="1" applyFill="1" applyBorder="1" applyAlignment="1" applyProtection="1">
      <alignment horizontal="center" vertical="center"/>
      <protection locked="0"/>
    </xf>
    <xf numFmtId="180" fontId="5" fillId="3" borderId="48" xfId="0" applyNumberFormat="1" applyFont="1" applyFill="1" applyBorder="1" applyAlignment="1" applyProtection="1">
      <alignment horizontal="center" vertical="center"/>
      <protection locked="0"/>
    </xf>
    <xf numFmtId="180" fontId="5" fillId="3" borderId="49" xfId="0" applyNumberFormat="1" applyFont="1" applyFill="1" applyBorder="1" applyAlignment="1" applyProtection="1">
      <alignment horizontal="center" vertical="center"/>
      <protection locked="0"/>
    </xf>
    <xf numFmtId="2" fontId="5" fillId="0" borderId="2" xfId="0" applyNumberFormat="1" applyFont="1" applyFill="1" applyBorder="1" applyAlignment="1" applyProtection="1">
      <alignment horizontal="center" vertical="center"/>
    </xf>
    <xf numFmtId="2" fontId="5" fillId="0" borderId="6" xfId="0" applyNumberFormat="1" applyFont="1" applyFill="1" applyBorder="1" applyAlignment="1" applyProtection="1">
      <alignment horizontal="center" vertical="center"/>
    </xf>
    <xf numFmtId="2" fontId="5" fillId="0" borderId="10" xfId="0" applyNumberFormat="1" applyFont="1" applyFill="1" applyBorder="1" applyAlignment="1" applyProtection="1">
      <alignment horizontal="center" vertical="center"/>
    </xf>
    <xf numFmtId="2" fontId="5" fillId="0" borderId="24" xfId="0" applyNumberFormat="1" applyFont="1" applyFill="1" applyBorder="1" applyAlignment="1" applyProtection="1">
      <alignment horizontal="center" vertical="center"/>
    </xf>
    <xf numFmtId="2" fontId="5" fillId="0" borderId="67" xfId="0" applyNumberFormat="1" applyFont="1" applyFill="1" applyBorder="1" applyAlignment="1" applyProtection="1">
      <alignment horizontal="center" vertical="center"/>
    </xf>
    <xf numFmtId="2" fontId="5" fillId="0" borderId="26" xfId="0" applyNumberFormat="1" applyFont="1" applyFill="1" applyBorder="1" applyAlignment="1" applyProtection="1">
      <alignment horizontal="center" vertical="center"/>
    </xf>
    <xf numFmtId="2" fontId="5" fillId="0" borderId="1" xfId="0" applyNumberFormat="1" applyFont="1" applyFill="1" applyBorder="1" applyAlignment="1" applyProtection="1">
      <alignment horizontal="center" vertical="center"/>
    </xf>
    <xf numFmtId="2" fontId="5" fillId="0" borderId="5" xfId="0" applyNumberFormat="1" applyFont="1" applyFill="1" applyBorder="1" applyAlignment="1" applyProtection="1">
      <alignment horizontal="center" vertical="center"/>
    </xf>
    <xf numFmtId="2" fontId="5" fillId="0" borderId="27" xfId="0" applyNumberFormat="1" applyFont="1" applyFill="1" applyBorder="1" applyAlignment="1" applyProtection="1">
      <alignment horizontal="center" vertical="center"/>
    </xf>
    <xf numFmtId="2" fontId="5" fillId="0" borderId="25" xfId="0" applyNumberFormat="1" applyFont="1" applyFill="1" applyBorder="1" applyAlignment="1" applyProtection="1">
      <alignment horizontal="center" vertical="center"/>
    </xf>
    <xf numFmtId="2" fontId="5" fillId="0" borderId="72" xfId="0" applyNumberFormat="1" applyFont="1" applyFill="1" applyBorder="1" applyAlignment="1" applyProtection="1">
      <alignment horizontal="center" vertical="center"/>
    </xf>
    <xf numFmtId="2" fontId="5" fillId="0" borderId="28" xfId="0" applyNumberFormat="1" applyFont="1" applyFill="1" applyBorder="1" applyAlignment="1" applyProtection="1">
      <alignment horizontal="center" vertical="center"/>
    </xf>
    <xf numFmtId="0" fontId="6" fillId="0" borderId="4" xfId="0" applyFont="1" applyBorder="1" applyAlignment="1" applyProtection="1">
      <alignment horizontal="left" vertical="center"/>
    </xf>
    <xf numFmtId="0" fontId="6" fillId="0" borderId="7" xfId="0" applyFont="1" applyBorder="1" applyAlignment="1" applyProtection="1">
      <alignment horizontal="left" vertical="center"/>
    </xf>
    <xf numFmtId="0" fontId="6" fillId="0" borderId="12" xfId="0" applyFont="1" applyBorder="1" applyAlignment="1" applyProtection="1">
      <alignment horizontal="left" vertical="center"/>
    </xf>
    <xf numFmtId="2" fontId="5" fillId="0" borderId="4" xfId="0" applyNumberFormat="1" applyFont="1" applyFill="1" applyBorder="1" applyAlignment="1" applyProtection="1">
      <alignment horizontal="center" vertical="center"/>
    </xf>
    <xf numFmtId="2" fontId="5" fillId="0" borderId="7" xfId="0" applyNumberFormat="1" applyFont="1" applyFill="1" applyBorder="1" applyAlignment="1" applyProtection="1">
      <alignment horizontal="center" vertical="center"/>
    </xf>
    <xf numFmtId="2" fontId="5" fillId="0" borderId="12" xfId="0" applyNumberFormat="1" applyFont="1" applyFill="1" applyBorder="1" applyAlignment="1" applyProtection="1">
      <alignment horizontal="center" vertical="center"/>
    </xf>
    <xf numFmtId="0" fontId="6" fillId="0" borderId="1" xfId="0" applyFont="1" applyBorder="1" applyAlignment="1" applyProtection="1">
      <alignment horizontal="left" vertical="center"/>
    </xf>
    <xf numFmtId="0" fontId="6" fillId="0" borderId="5" xfId="0" applyFont="1" applyBorder="1" applyAlignment="1" applyProtection="1">
      <alignment horizontal="left" vertical="center"/>
    </xf>
    <xf numFmtId="0" fontId="6" fillId="0" borderId="9" xfId="0" applyFont="1" applyBorder="1" applyAlignment="1" applyProtection="1">
      <alignment horizontal="left" vertical="center"/>
    </xf>
    <xf numFmtId="2" fontId="5" fillId="0" borderId="9" xfId="0" applyNumberFormat="1" applyFont="1" applyFill="1" applyBorder="1" applyAlignment="1" applyProtection="1">
      <alignment horizontal="center" vertical="center"/>
    </xf>
    <xf numFmtId="0" fontId="6" fillId="0" borderId="6" xfId="0" applyFont="1" applyBorder="1" applyAlignment="1" applyProtection="1">
      <alignment horizontal="left" vertical="center"/>
    </xf>
    <xf numFmtId="0" fontId="6" fillId="0" borderId="10" xfId="0" applyFont="1" applyBorder="1" applyAlignment="1" applyProtection="1">
      <alignment horizontal="left" vertical="center"/>
    </xf>
    <xf numFmtId="0" fontId="6" fillId="0" borderId="2"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6" fillId="0" borderId="3"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0" fontId="6" fillId="0" borderId="7" xfId="0" applyFont="1" applyFill="1" applyBorder="1" applyAlignment="1" applyProtection="1">
      <alignment horizontal="center" vertical="center"/>
    </xf>
    <xf numFmtId="0" fontId="6" fillId="0" borderId="14" xfId="0" applyFont="1" applyFill="1" applyBorder="1" applyAlignment="1" applyProtection="1">
      <alignment horizontal="left" vertical="center"/>
    </xf>
    <xf numFmtId="0" fontId="6" fillId="0" borderId="67" xfId="0" applyFont="1" applyFill="1" applyBorder="1" applyAlignment="1" applyProtection="1">
      <alignment horizontal="left" vertical="center"/>
    </xf>
    <xf numFmtId="0" fontId="6" fillId="0" borderId="68"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6" fillId="0" borderId="5"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78" xfId="0" applyFont="1" applyFill="1" applyBorder="1" applyAlignment="1" applyProtection="1">
      <alignment horizontal="left" vertical="center"/>
    </xf>
    <xf numFmtId="0" fontId="6" fillId="0" borderId="75" xfId="0" applyFont="1" applyFill="1" applyBorder="1" applyAlignment="1" applyProtection="1">
      <alignment horizontal="left" vertical="center"/>
    </xf>
    <xf numFmtId="0" fontId="6" fillId="0" borderId="74" xfId="0" applyFont="1" applyFill="1" applyBorder="1" applyAlignment="1" applyProtection="1">
      <alignment horizontal="left" vertical="center"/>
    </xf>
    <xf numFmtId="191" fontId="5" fillId="0" borderId="3" xfId="0" applyNumberFormat="1" applyFont="1" applyBorder="1" applyAlignment="1" applyProtection="1">
      <alignment horizontal="center" vertical="center"/>
    </xf>
    <xf numFmtId="191" fontId="5" fillId="0" borderId="0" xfId="0" applyNumberFormat="1" applyFont="1" applyBorder="1" applyAlignment="1" applyProtection="1">
      <alignment horizontal="center" vertical="center"/>
    </xf>
    <xf numFmtId="0" fontId="6" fillId="0" borderId="81" xfId="0" applyFont="1" applyBorder="1" applyAlignment="1" applyProtection="1">
      <alignment horizontal="center" vertical="center"/>
    </xf>
    <xf numFmtId="0" fontId="6" fillId="0" borderId="82" xfId="0" applyFont="1" applyBorder="1" applyAlignment="1" applyProtection="1">
      <alignment horizontal="center" vertical="center"/>
    </xf>
    <xf numFmtId="0" fontId="6" fillId="3" borderId="82" xfId="0" applyFont="1" applyFill="1" applyBorder="1" applyAlignment="1" applyProtection="1">
      <alignment horizontal="center" vertical="center"/>
      <protection locked="0"/>
    </xf>
    <xf numFmtId="0" fontId="6" fillId="3" borderId="83" xfId="0" applyFont="1" applyFill="1" applyBorder="1" applyAlignment="1" applyProtection="1">
      <alignment horizontal="center" vertical="center"/>
      <protection locked="0"/>
    </xf>
    <xf numFmtId="0" fontId="5" fillId="0" borderId="2" xfId="0" applyFont="1" applyFill="1" applyBorder="1" applyAlignment="1" applyProtection="1">
      <alignment horizontal="center" vertical="center"/>
    </xf>
    <xf numFmtId="0" fontId="5" fillId="0" borderId="6" xfId="0" applyFont="1" applyFill="1" applyBorder="1" applyAlignment="1" applyProtection="1">
      <alignment horizontal="center" vertical="center"/>
    </xf>
    <xf numFmtId="0" fontId="5" fillId="0" borderId="10" xfId="0" applyFont="1" applyFill="1" applyBorder="1" applyAlignment="1" applyProtection="1">
      <alignment horizontal="center" vertical="center"/>
    </xf>
    <xf numFmtId="181" fontId="5" fillId="0" borderId="2" xfId="0" applyNumberFormat="1" applyFont="1" applyFill="1" applyBorder="1" applyAlignment="1" applyProtection="1">
      <alignment horizontal="right" vertical="center"/>
    </xf>
    <xf numFmtId="181" fontId="5" fillId="0" borderId="10" xfId="0" applyNumberFormat="1" applyFont="1" applyFill="1" applyBorder="1" applyAlignment="1" applyProtection="1">
      <alignment horizontal="right" vertical="center"/>
    </xf>
    <xf numFmtId="181" fontId="5" fillId="0" borderId="3" xfId="0" applyNumberFormat="1" applyFont="1" applyFill="1" applyBorder="1" applyAlignment="1" applyProtection="1">
      <alignment horizontal="right" vertical="center"/>
    </xf>
    <xf numFmtId="181" fontId="5" fillId="0" borderId="0" xfId="0" applyNumberFormat="1" applyFont="1" applyFill="1" applyBorder="1" applyAlignment="1" applyProtection="1">
      <alignment horizontal="right" vertical="center"/>
    </xf>
    <xf numFmtId="181" fontId="5" fillId="0" borderId="11" xfId="0" applyNumberFormat="1" applyFont="1" applyFill="1" applyBorder="1" applyAlignment="1" applyProtection="1">
      <alignment horizontal="right" vertical="center"/>
    </xf>
    <xf numFmtId="0" fontId="6" fillId="0" borderId="45" xfId="0" applyFont="1" applyBorder="1" applyAlignment="1" applyProtection="1">
      <alignment horizontal="center" vertical="center"/>
    </xf>
    <xf numFmtId="0" fontId="6" fillId="0" borderId="46" xfId="0" applyFont="1" applyBorder="1" applyAlignment="1" applyProtection="1">
      <alignment horizontal="center" vertical="center"/>
    </xf>
    <xf numFmtId="0" fontId="6" fillId="0" borderId="59" xfId="0" applyFont="1" applyBorder="1" applyAlignment="1" applyProtection="1">
      <alignment horizontal="center" vertical="center"/>
    </xf>
    <xf numFmtId="0" fontId="6" fillId="0" borderId="60" xfId="0" applyFont="1" applyBorder="1" applyAlignment="1" applyProtection="1">
      <alignment horizontal="center" vertical="center"/>
    </xf>
    <xf numFmtId="181" fontId="5" fillId="3" borderId="4" xfId="0" applyNumberFormat="1" applyFont="1" applyFill="1" applyBorder="1" applyAlignment="1" applyProtection="1">
      <alignment horizontal="right" vertical="center"/>
      <protection locked="0"/>
    </xf>
    <xf numFmtId="181" fontId="5" fillId="3" borderId="12" xfId="0" applyNumberFormat="1" applyFont="1" applyFill="1" applyBorder="1" applyAlignment="1" applyProtection="1">
      <alignment horizontal="right" vertical="center"/>
      <protection locked="0"/>
    </xf>
    <xf numFmtId="181" fontId="5" fillId="3" borderId="7" xfId="0" applyNumberFormat="1" applyFont="1" applyFill="1" applyBorder="1" applyAlignment="1" applyProtection="1">
      <alignment horizontal="right" vertical="center"/>
      <protection locked="0"/>
    </xf>
    <xf numFmtId="176" fontId="5" fillId="0" borderId="2" xfId="1" applyNumberFormat="1" applyFont="1" applyBorder="1" applyAlignment="1" applyProtection="1">
      <alignment horizontal="center" vertical="center"/>
    </xf>
    <xf numFmtId="176" fontId="5" fillId="0" borderId="10" xfId="1" applyNumberFormat="1" applyFont="1" applyBorder="1" applyAlignment="1" applyProtection="1">
      <alignment horizontal="center" vertical="center"/>
    </xf>
    <xf numFmtId="176" fontId="5" fillId="0" borderId="4" xfId="1" applyNumberFormat="1" applyFont="1" applyBorder="1" applyAlignment="1" applyProtection="1">
      <alignment horizontal="center" vertical="center"/>
    </xf>
    <xf numFmtId="176" fontId="5" fillId="0" borderId="12" xfId="1" applyNumberFormat="1" applyFont="1" applyBorder="1" applyAlignment="1" applyProtection="1">
      <alignment horizontal="center" vertical="center"/>
    </xf>
    <xf numFmtId="176" fontId="5" fillId="0" borderId="6" xfId="1" applyNumberFormat="1" applyFont="1" applyBorder="1" applyAlignment="1" applyProtection="1">
      <alignment horizontal="center" vertical="center"/>
    </xf>
    <xf numFmtId="176" fontId="5" fillId="0" borderId="0" xfId="1" applyNumberFormat="1" applyFont="1" applyBorder="1" applyAlignment="1" applyProtection="1">
      <alignment horizontal="center" vertical="center"/>
    </xf>
    <xf numFmtId="176" fontId="5" fillId="0" borderId="7" xfId="1" applyNumberFormat="1" applyFont="1" applyBorder="1" applyAlignment="1" applyProtection="1">
      <alignment horizontal="center" vertical="center"/>
    </xf>
    <xf numFmtId="0" fontId="6" fillId="0" borderId="3" xfId="0" applyFont="1" applyBorder="1" applyAlignment="1" applyProtection="1">
      <alignment horizontal="left" vertical="center"/>
    </xf>
    <xf numFmtId="0" fontId="6" fillId="0" borderId="0" xfId="0" applyFont="1" applyBorder="1" applyAlignment="1" applyProtection="1">
      <alignment horizontal="left" vertical="center"/>
    </xf>
    <xf numFmtId="191" fontId="5" fillId="0" borderId="4" xfId="0" applyNumberFormat="1" applyFont="1" applyBorder="1" applyAlignment="1" applyProtection="1">
      <alignment horizontal="center" vertical="center"/>
    </xf>
    <xf numFmtId="191" fontId="5" fillId="0" borderId="7" xfId="0" applyNumberFormat="1" applyFont="1" applyBorder="1" applyAlignment="1" applyProtection="1">
      <alignment horizontal="center" vertical="center"/>
    </xf>
    <xf numFmtId="0" fontId="5" fillId="0" borderId="1" xfId="0" applyFont="1" applyFill="1" applyBorder="1" applyAlignment="1" applyProtection="1">
      <alignment horizontal="center" vertical="center"/>
    </xf>
    <xf numFmtId="0" fontId="5" fillId="0" borderId="5" xfId="0" applyFont="1" applyFill="1" applyBorder="1" applyAlignment="1" applyProtection="1">
      <alignment horizontal="center" vertical="center"/>
    </xf>
    <xf numFmtId="0" fontId="5" fillId="0" borderId="9" xfId="0" applyFont="1" applyFill="1" applyBorder="1" applyAlignment="1" applyProtection="1">
      <alignment horizontal="center" vertical="center"/>
    </xf>
    <xf numFmtId="181" fontId="5" fillId="0" borderId="1" xfId="0" applyNumberFormat="1" applyFont="1" applyFill="1" applyBorder="1" applyAlignment="1" applyProtection="1">
      <alignment horizontal="right" vertical="center"/>
    </xf>
    <xf numFmtId="181" fontId="5" fillId="0" borderId="9" xfId="0" applyNumberFormat="1" applyFont="1" applyFill="1" applyBorder="1" applyAlignment="1" applyProtection="1">
      <alignment horizontal="right" vertical="center"/>
    </xf>
    <xf numFmtId="181" fontId="5" fillId="0" borderId="5" xfId="0" applyNumberFormat="1" applyFont="1" applyFill="1" applyBorder="1" applyAlignment="1" applyProtection="1">
      <alignment horizontal="right" vertical="center"/>
    </xf>
    <xf numFmtId="181" fontId="5" fillId="0" borderId="4" xfId="0" applyNumberFormat="1" applyFont="1" applyFill="1" applyBorder="1" applyAlignment="1" applyProtection="1">
      <alignment horizontal="right" vertical="center"/>
    </xf>
    <xf numFmtId="181" fontId="5" fillId="0" borderId="7" xfId="0" applyNumberFormat="1" applyFont="1" applyFill="1" applyBorder="1" applyAlignment="1" applyProtection="1">
      <alignment horizontal="right" vertical="center"/>
    </xf>
    <xf numFmtId="181" fontId="5" fillId="0" borderId="12" xfId="0" applyNumberFormat="1" applyFont="1" applyFill="1" applyBorder="1" applyAlignment="1" applyProtection="1">
      <alignment horizontal="right" vertical="center"/>
    </xf>
    <xf numFmtId="0" fontId="6" fillId="0" borderId="57" xfId="0" applyFont="1" applyBorder="1" applyAlignment="1" applyProtection="1">
      <alignment horizontal="center" vertical="center"/>
    </xf>
    <xf numFmtId="0" fontId="6" fillId="0" borderId="58" xfId="0" applyFont="1" applyBorder="1" applyAlignment="1" applyProtection="1">
      <alignment horizontal="center" vertical="center"/>
    </xf>
    <xf numFmtId="0" fontId="6" fillId="0" borderId="10" xfId="0" applyFont="1" applyBorder="1" applyAlignment="1" applyProtection="1">
      <alignment horizontal="center" vertical="center" wrapText="1"/>
    </xf>
    <xf numFmtId="194" fontId="5" fillId="0" borderId="1" xfId="0" applyNumberFormat="1" applyFont="1" applyBorder="1" applyAlignment="1" applyProtection="1">
      <alignment horizontal="right" vertical="center"/>
    </xf>
    <xf numFmtId="194" fontId="5" fillId="0" borderId="9" xfId="0" applyNumberFormat="1" applyFont="1" applyBorder="1" applyAlignment="1" applyProtection="1">
      <alignment horizontal="right" vertical="center"/>
    </xf>
    <xf numFmtId="0" fontId="6" fillId="0" borderId="2" xfId="0" applyFont="1" applyBorder="1" applyAlignment="1" applyProtection="1">
      <alignment horizontal="center" vertical="center"/>
    </xf>
    <xf numFmtId="0" fontId="6" fillId="0" borderId="6" xfId="0" applyFont="1" applyBorder="1" applyAlignment="1" applyProtection="1">
      <alignment horizontal="center" vertical="center"/>
    </xf>
    <xf numFmtId="0" fontId="6" fillId="0" borderId="10" xfId="0" applyFont="1" applyBorder="1" applyAlignment="1" applyProtection="1">
      <alignment horizontal="center" vertical="center"/>
    </xf>
    <xf numFmtId="0" fontId="6" fillId="4" borderId="1" xfId="0" applyFont="1" applyFill="1" applyBorder="1" applyAlignment="1" applyProtection="1">
      <alignment horizontal="center" vertical="center" shrinkToFit="1"/>
    </xf>
    <xf numFmtId="0" fontId="6" fillId="4" borderId="5" xfId="0" applyFont="1" applyFill="1" applyBorder="1" applyAlignment="1" applyProtection="1">
      <alignment horizontal="center" vertical="center" shrinkToFit="1"/>
    </xf>
    <xf numFmtId="0" fontId="6" fillId="4" borderId="9" xfId="0" applyFont="1" applyFill="1" applyBorder="1" applyAlignment="1" applyProtection="1">
      <alignment horizontal="center" vertical="center" shrinkToFit="1"/>
    </xf>
    <xf numFmtId="193" fontId="5" fillId="4" borderId="1" xfId="0" applyNumberFormat="1" applyFont="1" applyFill="1" applyBorder="1" applyAlignment="1" applyProtection="1">
      <alignment horizontal="right" vertical="center"/>
      <protection locked="0"/>
    </xf>
    <xf numFmtId="193" fontId="5" fillId="4" borderId="5" xfId="0" applyNumberFormat="1" applyFont="1" applyFill="1" applyBorder="1" applyAlignment="1" applyProtection="1">
      <alignment horizontal="right" vertical="center"/>
      <protection locked="0"/>
    </xf>
    <xf numFmtId="193" fontId="5" fillId="4" borderId="9" xfId="0" applyNumberFormat="1" applyFont="1" applyFill="1" applyBorder="1" applyAlignment="1" applyProtection="1">
      <alignment horizontal="right" vertical="center"/>
      <protection locked="0"/>
    </xf>
    <xf numFmtId="2" fontId="5" fillId="0" borderId="9" xfId="0" applyNumberFormat="1" applyFont="1" applyBorder="1" applyAlignment="1" applyProtection="1">
      <alignment horizontal="center" vertical="center"/>
    </xf>
    <xf numFmtId="178" fontId="5" fillId="4" borderId="2" xfId="0" applyNumberFormat="1" applyFont="1" applyFill="1" applyBorder="1" applyAlignment="1" applyProtection="1">
      <alignment horizontal="center" vertical="center" wrapText="1"/>
    </xf>
    <xf numFmtId="178" fontId="5" fillId="4" borderId="6" xfId="0" applyNumberFormat="1" applyFont="1" applyFill="1" applyBorder="1" applyAlignment="1" applyProtection="1">
      <alignment horizontal="center" vertical="center" wrapText="1"/>
    </xf>
    <xf numFmtId="178" fontId="5" fillId="4" borderId="10" xfId="0" applyNumberFormat="1" applyFont="1" applyFill="1" applyBorder="1" applyAlignment="1" applyProtection="1">
      <alignment horizontal="center" vertical="center" wrapText="1"/>
    </xf>
    <xf numFmtId="178" fontId="5" fillId="4" borderId="3" xfId="0" applyNumberFormat="1" applyFont="1" applyFill="1" applyBorder="1" applyAlignment="1" applyProtection="1">
      <alignment horizontal="center" vertical="center" wrapText="1"/>
    </xf>
    <xf numFmtId="178" fontId="5" fillId="4" borderId="0" xfId="0" applyNumberFormat="1" applyFont="1" applyFill="1" applyBorder="1" applyAlignment="1" applyProtection="1">
      <alignment horizontal="center" vertical="center" wrapText="1"/>
    </xf>
    <xf numFmtId="178" fontId="5" fillId="4" borderId="11" xfId="0" applyNumberFormat="1" applyFont="1" applyFill="1" applyBorder="1" applyAlignment="1" applyProtection="1">
      <alignment horizontal="center" vertical="center" wrapText="1"/>
    </xf>
    <xf numFmtId="178" fontId="5" fillId="4" borderId="4" xfId="0" applyNumberFormat="1" applyFont="1" applyFill="1" applyBorder="1" applyAlignment="1" applyProtection="1">
      <alignment horizontal="center" vertical="center" wrapText="1"/>
    </xf>
    <xf numFmtId="178" fontId="5" fillId="4" borderId="7" xfId="0" applyNumberFormat="1" applyFont="1" applyFill="1" applyBorder="1" applyAlignment="1" applyProtection="1">
      <alignment horizontal="center" vertical="center" wrapText="1"/>
    </xf>
    <xf numFmtId="178" fontId="5" fillId="4" borderId="12" xfId="0" applyNumberFormat="1" applyFont="1" applyFill="1" applyBorder="1" applyAlignment="1" applyProtection="1">
      <alignment horizontal="center" vertical="center" wrapText="1"/>
    </xf>
    <xf numFmtId="0" fontId="6" fillId="3" borderId="82" xfId="0" applyFont="1" applyFill="1" applyBorder="1" applyAlignment="1" applyProtection="1">
      <alignment horizontal="center" vertical="center" wrapText="1"/>
      <protection locked="0"/>
    </xf>
    <xf numFmtId="0" fontId="6" fillId="3" borderId="83" xfId="0" applyFont="1" applyFill="1" applyBorder="1" applyAlignment="1" applyProtection="1">
      <alignment horizontal="center" vertical="center" wrapText="1"/>
      <protection locked="0"/>
    </xf>
    <xf numFmtId="0" fontId="5" fillId="0" borderId="50" xfId="0" applyFont="1" applyBorder="1" applyAlignment="1" applyProtection="1">
      <alignment horizontal="center" vertical="center"/>
    </xf>
    <xf numFmtId="0" fontId="5" fillId="0" borderId="5" xfId="0" applyFont="1" applyBorder="1" applyAlignment="1" applyProtection="1">
      <alignment horizontal="center" vertical="center"/>
    </xf>
    <xf numFmtId="0" fontId="5" fillId="0" borderId="51" xfId="0" applyFont="1" applyBorder="1" applyAlignment="1" applyProtection="1">
      <alignment horizontal="center" vertical="center"/>
    </xf>
    <xf numFmtId="193" fontId="5" fillId="3" borderId="2" xfId="0" applyNumberFormat="1" applyFont="1" applyFill="1" applyBorder="1" applyAlignment="1" applyProtection="1">
      <alignment horizontal="right" vertical="center"/>
      <protection locked="0"/>
    </xf>
    <xf numFmtId="193" fontId="5" fillId="3" borderId="6" xfId="0" applyNumberFormat="1" applyFont="1" applyFill="1" applyBorder="1" applyAlignment="1" applyProtection="1">
      <alignment horizontal="right" vertical="center"/>
      <protection locked="0"/>
    </xf>
    <xf numFmtId="193" fontId="5" fillId="3" borderId="10" xfId="0" applyNumberFormat="1" applyFont="1" applyFill="1" applyBorder="1" applyAlignment="1" applyProtection="1">
      <alignment horizontal="right" vertical="center"/>
      <protection locked="0"/>
    </xf>
    <xf numFmtId="2" fontId="5" fillId="0" borderId="2" xfId="0" applyNumberFormat="1" applyFont="1" applyBorder="1" applyAlignment="1" applyProtection="1">
      <alignment horizontal="center" vertical="center"/>
    </xf>
    <xf numFmtId="2" fontId="5" fillId="0" borderId="6" xfId="0" applyNumberFormat="1" applyFont="1" applyBorder="1" applyAlignment="1" applyProtection="1">
      <alignment horizontal="center" vertical="center"/>
    </xf>
    <xf numFmtId="0" fontId="5" fillId="0" borderId="45" xfId="0" applyFont="1" applyBorder="1" applyAlignment="1" applyProtection="1">
      <alignment horizontal="center" vertical="center"/>
    </xf>
    <xf numFmtId="0" fontId="5" fillId="0" borderId="6" xfId="0" applyFont="1" applyBorder="1" applyAlignment="1" applyProtection="1">
      <alignment horizontal="center" vertical="center"/>
    </xf>
    <xf numFmtId="0" fontId="5" fillId="0" borderId="46" xfId="0" applyFont="1" applyBorder="1" applyAlignment="1" applyProtection="1">
      <alignment horizontal="center" vertical="center"/>
    </xf>
    <xf numFmtId="178" fontId="5" fillId="3" borderId="2" xfId="0" applyNumberFormat="1" applyFont="1" applyFill="1" applyBorder="1" applyAlignment="1" applyProtection="1">
      <alignment horizontal="center" vertical="center" wrapText="1"/>
    </xf>
    <xf numFmtId="178" fontId="5" fillId="3" borderId="6" xfId="0" applyNumberFormat="1" applyFont="1" applyFill="1" applyBorder="1" applyAlignment="1" applyProtection="1">
      <alignment horizontal="center" vertical="center" wrapText="1"/>
    </xf>
    <xf numFmtId="178" fontId="5" fillId="3" borderId="10" xfId="0" applyNumberFormat="1" applyFont="1" applyFill="1" applyBorder="1" applyAlignment="1" applyProtection="1">
      <alignment horizontal="center" vertical="center" wrapText="1"/>
    </xf>
    <xf numFmtId="178" fontId="5" fillId="3" borderId="3" xfId="0" applyNumberFormat="1" applyFont="1" applyFill="1" applyBorder="1" applyAlignment="1" applyProtection="1">
      <alignment horizontal="center" vertical="center" wrapText="1"/>
    </xf>
    <xf numFmtId="178" fontId="5" fillId="3" borderId="0" xfId="0" applyNumberFormat="1" applyFont="1" applyFill="1" applyBorder="1" applyAlignment="1" applyProtection="1">
      <alignment horizontal="center" vertical="center" wrapText="1"/>
    </xf>
    <xf numFmtId="178" fontId="5" fillId="3" borderId="11" xfId="0" applyNumberFormat="1" applyFont="1" applyFill="1" applyBorder="1" applyAlignment="1" applyProtection="1">
      <alignment horizontal="center" vertical="center" wrapText="1"/>
    </xf>
    <xf numFmtId="178" fontId="5" fillId="3" borderId="4" xfId="0" applyNumberFormat="1" applyFont="1" applyFill="1" applyBorder="1" applyAlignment="1" applyProtection="1">
      <alignment horizontal="center" vertical="center" wrapText="1"/>
    </xf>
    <xf numFmtId="178" fontId="5" fillId="3" borderId="7" xfId="0" applyNumberFormat="1" applyFont="1" applyFill="1" applyBorder="1" applyAlignment="1" applyProtection="1">
      <alignment horizontal="center" vertical="center" wrapText="1"/>
    </xf>
    <xf numFmtId="178" fontId="5" fillId="3" borderId="12" xfId="0" applyNumberFormat="1" applyFont="1" applyFill="1" applyBorder="1" applyAlignment="1" applyProtection="1">
      <alignment horizontal="center" vertical="center" wrapText="1"/>
    </xf>
    <xf numFmtId="0" fontId="6" fillId="3" borderId="1" xfId="0" applyFont="1" applyFill="1" applyBorder="1" applyAlignment="1" applyProtection="1">
      <alignment horizontal="center" vertical="center" shrinkToFit="1"/>
      <protection locked="0"/>
    </xf>
    <xf numFmtId="0" fontId="6" fillId="3" borderId="5" xfId="0" applyFont="1" applyFill="1" applyBorder="1" applyAlignment="1" applyProtection="1">
      <alignment horizontal="center" vertical="center" shrinkToFit="1"/>
      <protection locked="0"/>
    </xf>
    <xf numFmtId="0" fontId="6" fillId="3" borderId="9" xfId="0" applyFont="1" applyFill="1" applyBorder="1" applyAlignment="1" applyProtection="1">
      <alignment horizontal="center" vertical="center" shrinkToFit="1"/>
      <protection locked="0"/>
    </xf>
    <xf numFmtId="193" fontId="5" fillId="3" borderId="1" xfId="0" applyNumberFormat="1" applyFont="1" applyFill="1" applyBorder="1" applyAlignment="1" applyProtection="1">
      <alignment horizontal="right" vertical="center"/>
      <protection locked="0"/>
    </xf>
    <xf numFmtId="193" fontId="5" fillId="3" borderId="5" xfId="0" applyNumberFormat="1" applyFont="1" applyFill="1" applyBorder="1" applyAlignment="1" applyProtection="1">
      <alignment horizontal="right" vertical="center"/>
      <protection locked="0"/>
    </xf>
    <xf numFmtId="193" fontId="5" fillId="3" borderId="9" xfId="0" applyNumberFormat="1" applyFont="1" applyFill="1" applyBorder="1" applyAlignment="1" applyProtection="1">
      <alignment horizontal="right" vertical="center"/>
      <protection locked="0"/>
    </xf>
    <xf numFmtId="0" fontId="6" fillId="0" borderId="43" xfId="0" applyFont="1" applyBorder="1" applyAlignment="1" applyProtection="1">
      <alignment horizontal="center" vertical="center" wrapText="1"/>
    </xf>
    <xf numFmtId="0" fontId="6" fillId="0" borderId="44" xfId="0" applyFont="1" applyBorder="1" applyAlignment="1" applyProtection="1">
      <alignment horizontal="center" vertical="center" wrapText="1"/>
    </xf>
    <xf numFmtId="176" fontId="10" fillId="0" borderId="1" xfId="0" applyNumberFormat="1" applyFont="1" applyBorder="1" applyAlignment="1" applyProtection="1">
      <alignment horizontal="center" vertical="center"/>
    </xf>
    <xf numFmtId="176" fontId="10" fillId="0" borderId="5" xfId="0" applyNumberFormat="1" applyFont="1" applyBorder="1" applyAlignment="1" applyProtection="1">
      <alignment horizontal="center" vertical="center"/>
    </xf>
    <xf numFmtId="176" fontId="10" fillId="0" borderId="9" xfId="0" applyNumberFormat="1" applyFont="1" applyBorder="1" applyAlignment="1" applyProtection="1">
      <alignment horizontal="center" vertical="center"/>
    </xf>
    <xf numFmtId="187" fontId="5" fillId="4" borderId="1" xfId="0" applyNumberFormat="1" applyFont="1" applyFill="1" applyBorder="1" applyAlignment="1" applyProtection="1">
      <alignment horizontal="right" vertical="center"/>
      <protection locked="0"/>
    </xf>
    <xf numFmtId="187" fontId="5" fillId="4" borderId="5" xfId="0" applyNumberFormat="1" applyFont="1" applyFill="1" applyBorder="1" applyAlignment="1" applyProtection="1">
      <alignment horizontal="right" vertical="center"/>
      <protection locked="0"/>
    </xf>
    <xf numFmtId="187" fontId="5" fillId="4" borderId="9" xfId="0" applyNumberFormat="1" applyFont="1" applyFill="1" applyBorder="1" applyAlignment="1" applyProtection="1">
      <alignment horizontal="right" vertical="center"/>
      <protection locked="0"/>
    </xf>
    <xf numFmtId="187" fontId="5" fillId="0" borderId="1" xfId="0" applyNumberFormat="1" applyFont="1" applyBorder="1" applyAlignment="1" applyProtection="1">
      <alignment horizontal="right" vertical="center"/>
    </xf>
    <xf numFmtId="187" fontId="5" fillId="0" borderId="5" xfId="0" applyNumberFormat="1" applyFont="1" applyBorder="1" applyAlignment="1" applyProtection="1">
      <alignment horizontal="right" vertical="center"/>
    </xf>
    <xf numFmtId="187" fontId="5" fillId="0" borderId="9" xfId="0" applyNumberFormat="1" applyFont="1" applyBorder="1" applyAlignment="1" applyProtection="1">
      <alignment horizontal="right" vertical="center"/>
    </xf>
    <xf numFmtId="0" fontId="6" fillId="4" borderId="3" xfId="0" applyFont="1" applyFill="1" applyBorder="1" applyAlignment="1" applyProtection="1">
      <alignment horizontal="center" vertical="center" shrinkToFit="1"/>
    </xf>
    <xf numFmtId="0" fontId="6" fillId="4" borderId="0" xfId="0" applyFont="1" applyFill="1" applyBorder="1" applyAlignment="1" applyProtection="1">
      <alignment horizontal="center" vertical="center" shrinkToFit="1"/>
    </xf>
    <xf numFmtId="0" fontId="6" fillId="4" borderId="11" xfId="0" applyFont="1" applyFill="1" applyBorder="1" applyAlignment="1" applyProtection="1">
      <alignment horizontal="center" vertical="center" shrinkToFit="1"/>
    </xf>
    <xf numFmtId="0" fontId="6" fillId="4" borderId="4" xfId="0" applyFont="1" applyFill="1" applyBorder="1" applyAlignment="1" applyProtection="1">
      <alignment horizontal="center" vertical="center" shrinkToFit="1"/>
    </xf>
    <xf numFmtId="0" fontId="6" fillId="4" borderId="7" xfId="0" applyFont="1" applyFill="1" applyBorder="1" applyAlignment="1" applyProtection="1">
      <alignment horizontal="center" vertical="center" shrinkToFit="1"/>
    </xf>
    <xf numFmtId="0" fontId="6" fillId="4" borderId="12" xfId="0" applyFont="1" applyFill="1" applyBorder="1" applyAlignment="1" applyProtection="1">
      <alignment horizontal="center" vertical="center" shrinkToFit="1"/>
    </xf>
    <xf numFmtId="185" fontId="5" fillId="3" borderId="47" xfId="1" applyNumberFormat="1" applyFont="1" applyFill="1" applyBorder="1" applyAlignment="1" applyProtection="1">
      <alignment horizontal="center" vertical="center"/>
      <protection locked="0"/>
    </xf>
    <xf numFmtId="185" fontId="5" fillId="3" borderId="48" xfId="1" applyNumberFormat="1" applyFont="1" applyFill="1" applyBorder="1" applyAlignment="1" applyProtection="1">
      <alignment horizontal="center" vertical="center"/>
      <protection locked="0"/>
    </xf>
    <xf numFmtId="185" fontId="5" fillId="3" borderId="49" xfId="1" applyNumberFormat="1" applyFont="1" applyFill="1" applyBorder="1" applyAlignment="1" applyProtection="1">
      <alignment horizontal="center" vertical="center"/>
      <protection locked="0"/>
    </xf>
    <xf numFmtId="178" fontId="5" fillId="3" borderId="3" xfId="0" applyNumberFormat="1" applyFont="1" applyFill="1" applyBorder="1" applyAlignment="1" applyProtection="1">
      <alignment horizontal="center" vertical="center"/>
    </xf>
    <xf numFmtId="178" fontId="5" fillId="3" borderId="0" xfId="0" applyNumberFormat="1" applyFont="1" applyFill="1" applyBorder="1" applyAlignment="1" applyProtection="1">
      <alignment horizontal="center" vertical="center"/>
    </xf>
    <xf numFmtId="178" fontId="5" fillId="3" borderId="11" xfId="0" applyNumberFormat="1" applyFont="1" applyFill="1" applyBorder="1" applyAlignment="1" applyProtection="1">
      <alignment horizontal="center" vertical="center"/>
    </xf>
    <xf numFmtId="187" fontId="5" fillId="3" borderId="3" xfId="0" applyNumberFormat="1" applyFont="1" applyFill="1" applyBorder="1" applyAlignment="1" applyProtection="1">
      <alignment horizontal="right" vertical="center"/>
      <protection locked="0"/>
    </xf>
    <xf numFmtId="187" fontId="5" fillId="3" borderId="0" xfId="0" applyNumberFormat="1" applyFont="1" applyFill="1" applyBorder="1" applyAlignment="1" applyProtection="1">
      <alignment horizontal="right" vertical="center"/>
      <protection locked="0"/>
    </xf>
    <xf numFmtId="187" fontId="5" fillId="3" borderId="11" xfId="0" applyNumberFormat="1" applyFont="1" applyFill="1" applyBorder="1" applyAlignment="1" applyProtection="1">
      <alignment horizontal="right" vertical="center"/>
      <protection locked="0"/>
    </xf>
    <xf numFmtId="187" fontId="5" fillId="3" borderId="4" xfId="0" applyNumberFormat="1" applyFont="1" applyFill="1" applyBorder="1" applyAlignment="1" applyProtection="1">
      <alignment horizontal="right" vertical="center"/>
      <protection locked="0"/>
    </xf>
    <xf numFmtId="187" fontId="5" fillId="3" borderId="7" xfId="0" applyNumberFormat="1" applyFont="1" applyFill="1" applyBorder="1" applyAlignment="1" applyProtection="1">
      <alignment horizontal="right" vertical="center"/>
      <protection locked="0"/>
    </xf>
    <xf numFmtId="187" fontId="5" fillId="3" borderId="12" xfId="0" applyNumberFormat="1" applyFont="1" applyFill="1" applyBorder="1" applyAlignment="1" applyProtection="1">
      <alignment horizontal="right" vertical="center"/>
      <protection locked="0"/>
    </xf>
    <xf numFmtId="187" fontId="5" fillId="3" borderId="2" xfId="0" applyNumberFormat="1" applyFont="1" applyFill="1" applyBorder="1" applyAlignment="1" applyProtection="1">
      <alignment horizontal="right" vertical="center"/>
      <protection locked="0"/>
    </xf>
    <xf numFmtId="187" fontId="5" fillId="3" borderId="6" xfId="0" applyNumberFormat="1" applyFont="1" applyFill="1" applyBorder="1" applyAlignment="1" applyProtection="1">
      <alignment horizontal="right" vertical="center"/>
      <protection locked="0"/>
    </xf>
    <xf numFmtId="187" fontId="5" fillId="3" borderId="10" xfId="0" applyNumberFormat="1" applyFont="1" applyFill="1" applyBorder="1" applyAlignment="1" applyProtection="1">
      <alignment horizontal="right" vertical="center"/>
      <protection locked="0"/>
    </xf>
    <xf numFmtId="187" fontId="5" fillId="0" borderId="2" xfId="0" applyNumberFormat="1" applyFont="1" applyBorder="1" applyAlignment="1" applyProtection="1">
      <alignment horizontal="right" vertical="center"/>
    </xf>
    <xf numFmtId="187" fontId="5" fillId="0" borderId="6" xfId="0" applyNumberFormat="1" applyFont="1" applyBorder="1" applyAlignment="1" applyProtection="1">
      <alignment horizontal="right" vertical="center"/>
    </xf>
    <xf numFmtId="187" fontId="5" fillId="0" borderId="4" xfId="0" applyNumberFormat="1" applyFont="1" applyBorder="1" applyAlignment="1" applyProtection="1">
      <alignment horizontal="right" vertical="center"/>
    </xf>
    <xf numFmtId="187" fontId="5" fillId="0" borderId="7" xfId="0" applyNumberFormat="1" applyFont="1" applyBorder="1" applyAlignment="1" applyProtection="1">
      <alignment horizontal="right" vertical="center"/>
    </xf>
    <xf numFmtId="0" fontId="6" fillId="3" borderId="50" xfId="0" applyFont="1" applyFill="1" applyBorder="1" applyAlignment="1" applyProtection="1">
      <alignment horizontal="center" vertical="center" shrinkToFit="1"/>
    </xf>
    <xf numFmtId="0" fontId="6" fillId="3" borderId="5" xfId="0" applyFont="1" applyFill="1" applyBorder="1" applyAlignment="1" applyProtection="1">
      <alignment horizontal="center" vertical="center" shrinkToFit="1"/>
    </xf>
    <xf numFmtId="0" fontId="6" fillId="3" borderId="51" xfId="0" applyFont="1" applyFill="1" applyBorder="1" applyAlignment="1" applyProtection="1">
      <alignment horizontal="center" vertical="center" shrinkToFit="1"/>
    </xf>
    <xf numFmtId="0" fontId="6" fillId="3" borderId="50" xfId="0" applyFont="1" applyFill="1" applyBorder="1" applyAlignment="1" applyProtection="1">
      <alignment horizontal="center" vertical="center" wrapText="1"/>
      <protection locked="0"/>
    </xf>
    <xf numFmtId="0" fontId="6" fillId="3" borderId="51" xfId="0" applyFont="1" applyFill="1" applyBorder="1" applyAlignment="1" applyProtection="1">
      <alignment horizontal="center" vertical="center" wrapText="1"/>
      <protection locked="0"/>
    </xf>
    <xf numFmtId="0" fontId="6" fillId="3" borderId="52" xfId="0" applyFont="1" applyFill="1" applyBorder="1" applyAlignment="1" applyProtection="1">
      <alignment horizontal="center" vertical="center" wrapText="1"/>
      <protection locked="0"/>
    </xf>
    <xf numFmtId="0" fontId="6" fillId="3" borderId="54" xfId="0" applyFont="1" applyFill="1" applyBorder="1" applyAlignment="1" applyProtection="1">
      <alignment horizontal="center" vertical="center" wrapText="1"/>
      <protection locked="0"/>
    </xf>
    <xf numFmtId="0" fontId="6" fillId="0" borderId="31" xfId="0" applyFont="1" applyBorder="1" applyAlignment="1" applyProtection="1">
      <alignment horizontal="center" vertical="center"/>
    </xf>
    <xf numFmtId="0" fontId="6" fillId="0" borderId="32" xfId="0" applyFont="1" applyBorder="1" applyAlignment="1" applyProtection="1">
      <alignment horizontal="center" vertical="center"/>
    </xf>
    <xf numFmtId="0" fontId="6" fillId="0" borderId="33" xfId="0" applyFont="1" applyBorder="1" applyAlignment="1" applyProtection="1">
      <alignment horizontal="center" vertical="center"/>
    </xf>
    <xf numFmtId="2" fontId="5" fillId="0" borderId="1" xfId="0" applyNumberFormat="1" applyFont="1" applyBorder="1" applyAlignment="1" applyProtection="1">
      <alignment horizontal="right" vertical="center"/>
    </xf>
    <xf numFmtId="2" fontId="5" fillId="0" borderId="9" xfId="0" applyNumberFormat="1" applyFont="1" applyBorder="1" applyAlignment="1" applyProtection="1">
      <alignment horizontal="right" vertical="center"/>
    </xf>
    <xf numFmtId="0" fontId="6" fillId="3" borderId="86" xfId="0" applyFont="1" applyFill="1" applyBorder="1" applyAlignment="1" applyProtection="1">
      <alignment horizontal="center" vertical="center" wrapText="1"/>
      <protection locked="0"/>
    </xf>
    <xf numFmtId="0" fontId="6" fillId="3" borderId="87" xfId="0" applyFont="1" applyFill="1" applyBorder="1" applyAlignment="1" applyProtection="1">
      <alignment horizontal="center" vertical="center" wrapText="1"/>
      <protection locked="0"/>
    </xf>
    <xf numFmtId="0" fontId="6" fillId="3" borderId="88" xfId="0" applyFont="1" applyFill="1" applyBorder="1" applyAlignment="1" applyProtection="1">
      <alignment horizontal="center" vertical="center" wrapText="1"/>
      <protection locked="0"/>
    </xf>
    <xf numFmtId="0" fontId="6" fillId="3" borderId="89" xfId="0" applyFont="1" applyFill="1" applyBorder="1" applyAlignment="1" applyProtection="1">
      <alignment horizontal="center" vertical="center" wrapText="1"/>
      <protection locked="0"/>
    </xf>
    <xf numFmtId="0" fontId="6" fillId="0" borderId="84" xfId="0" applyFont="1" applyBorder="1" applyAlignment="1" applyProtection="1">
      <alignment horizontal="center" vertical="center" wrapText="1"/>
    </xf>
    <xf numFmtId="0" fontId="6" fillId="0" borderId="85" xfId="0" applyFont="1" applyBorder="1" applyAlignment="1" applyProtection="1">
      <alignment horizontal="center" vertical="center"/>
    </xf>
    <xf numFmtId="0" fontId="6" fillId="0" borderId="34" xfId="0" applyFont="1" applyBorder="1" applyAlignment="1" applyProtection="1">
      <alignment horizontal="center" vertical="center"/>
    </xf>
    <xf numFmtId="0" fontId="6" fillId="0" borderId="35" xfId="0" applyFont="1" applyBorder="1" applyAlignment="1" applyProtection="1">
      <alignment horizontal="center" vertical="center"/>
    </xf>
    <xf numFmtId="0" fontId="6" fillId="0" borderId="36" xfId="0" applyFont="1" applyBorder="1" applyAlignment="1" applyProtection="1">
      <alignment horizontal="center" vertical="center"/>
    </xf>
    <xf numFmtId="0" fontId="6" fillId="0" borderId="37" xfId="0" applyFont="1" applyBorder="1" applyAlignment="1" applyProtection="1">
      <alignment horizontal="center" vertical="center"/>
    </xf>
    <xf numFmtId="0" fontId="6" fillId="0" borderId="38" xfId="0" applyFont="1" applyBorder="1" applyAlignment="1" applyProtection="1">
      <alignment horizontal="center" vertical="center"/>
    </xf>
    <xf numFmtId="0" fontId="6" fillId="0" borderId="39" xfId="0" applyFont="1" applyBorder="1" applyAlignment="1" applyProtection="1">
      <alignment horizontal="center" vertical="center"/>
    </xf>
    <xf numFmtId="0" fontId="5" fillId="3" borderId="50" xfId="0" applyFont="1" applyFill="1" applyBorder="1" applyAlignment="1" applyProtection="1">
      <alignment horizontal="center" vertical="center" shrinkToFit="1"/>
    </xf>
    <xf numFmtId="0" fontId="5" fillId="3" borderId="5" xfId="0" applyFont="1" applyFill="1" applyBorder="1" applyAlignment="1" applyProtection="1">
      <alignment horizontal="center" vertical="center" shrinkToFit="1"/>
    </xf>
    <xf numFmtId="0" fontId="5" fillId="3" borderId="51" xfId="0" applyFont="1" applyFill="1" applyBorder="1" applyAlignment="1" applyProtection="1">
      <alignment horizontal="center" vertical="center" shrinkToFit="1"/>
    </xf>
    <xf numFmtId="179" fontId="5" fillId="0" borderId="1" xfId="0" applyNumberFormat="1" applyFont="1" applyBorder="1" applyAlignment="1" applyProtection="1">
      <alignment horizontal="right" vertical="center"/>
    </xf>
    <xf numFmtId="179" fontId="5" fillId="0" borderId="9" xfId="0" applyNumberFormat="1" applyFont="1" applyBorder="1" applyAlignment="1" applyProtection="1">
      <alignment horizontal="right" vertical="center"/>
    </xf>
    <xf numFmtId="181" fontId="5" fillId="4" borderId="10" xfId="0" applyNumberFormat="1" applyFont="1" applyFill="1" applyBorder="1" applyAlignment="1" applyProtection="1">
      <alignment horizontal="right" vertical="center"/>
      <protection locked="0"/>
    </xf>
    <xf numFmtId="179" fontId="5" fillId="0" borderId="5" xfId="0" applyNumberFormat="1" applyFont="1" applyBorder="1" applyAlignment="1" applyProtection="1">
      <alignment horizontal="right" vertical="center"/>
    </xf>
    <xf numFmtId="0" fontId="6" fillId="3" borderId="20" xfId="0" applyFont="1" applyFill="1" applyBorder="1" applyAlignment="1" applyProtection="1">
      <alignment horizontal="center" vertical="center" shrinkToFit="1"/>
      <protection locked="0"/>
    </xf>
    <xf numFmtId="0" fontId="6" fillId="3" borderId="19" xfId="0" applyFont="1" applyFill="1" applyBorder="1" applyAlignment="1" applyProtection="1">
      <alignment horizontal="center" vertical="center" shrinkToFit="1"/>
      <protection locked="0"/>
    </xf>
    <xf numFmtId="178" fontId="6" fillId="3" borderId="19" xfId="0" applyNumberFormat="1" applyFont="1" applyFill="1" applyBorder="1" applyAlignment="1" applyProtection="1">
      <alignment horizontal="center" vertical="center"/>
    </xf>
    <xf numFmtId="181" fontId="5" fillId="3" borderId="20" xfId="0" applyNumberFormat="1" applyFont="1" applyFill="1" applyBorder="1" applyAlignment="1" applyProtection="1">
      <alignment horizontal="right" vertical="center"/>
      <protection locked="0"/>
    </xf>
    <xf numFmtId="179" fontId="5" fillId="0" borderId="19" xfId="0" applyNumberFormat="1" applyFont="1" applyBorder="1" applyAlignment="1" applyProtection="1">
      <alignment horizontal="right" vertical="center"/>
    </xf>
    <xf numFmtId="179" fontId="5" fillId="0" borderId="13" xfId="0" applyNumberFormat="1" applyFont="1" applyBorder="1" applyAlignment="1" applyProtection="1">
      <alignment horizontal="right" vertical="center"/>
    </xf>
    <xf numFmtId="179" fontId="5" fillId="0" borderId="2" xfId="0" applyNumberFormat="1" applyFont="1" applyBorder="1" applyAlignment="1" applyProtection="1">
      <alignment horizontal="right" vertical="center"/>
    </xf>
    <xf numFmtId="179" fontId="5" fillId="0" borderId="6" xfId="0" applyNumberFormat="1" applyFont="1" applyBorder="1" applyAlignment="1" applyProtection="1">
      <alignment horizontal="right" vertical="center"/>
    </xf>
    <xf numFmtId="0" fontId="6" fillId="0" borderId="45" xfId="0" applyFont="1" applyBorder="1" applyAlignment="1" applyProtection="1">
      <alignment horizontal="center" vertical="center" wrapText="1"/>
    </xf>
    <xf numFmtId="0" fontId="6" fillId="0" borderId="46" xfId="0" applyFont="1" applyBorder="1" applyAlignment="1" applyProtection="1">
      <alignment horizontal="center" vertical="center" wrapText="1"/>
    </xf>
    <xf numFmtId="0" fontId="6" fillId="0" borderId="59" xfId="0" applyFont="1" applyBorder="1" applyAlignment="1" applyProtection="1">
      <alignment horizontal="center" vertical="center" wrapText="1"/>
    </xf>
    <xf numFmtId="0" fontId="6" fillId="0" borderId="60" xfId="0" applyFont="1" applyBorder="1" applyAlignment="1" applyProtection="1">
      <alignment horizontal="center" vertical="center" wrapText="1"/>
    </xf>
    <xf numFmtId="0" fontId="6" fillId="0" borderId="57" xfId="0" applyFont="1" applyBorder="1" applyAlignment="1" applyProtection="1">
      <alignment horizontal="center" vertical="center" wrapText="1"/>
    </xf>
    <xf numFmtId="0" fontId="6" fillId="0" borderId="58" xfId="0" applyFont="1" applyBorder="1" applyAlignment="1" applyProtection="1">
      <alignment horizontal="center" vertical="center" wrapText="1"/>
    </xf>
    <xf numFmtId="181" fontId="5" fillId="3" borderId="19" xfId="0" applyNumberFormat="1" applyFont="1" applyFill="1" applyBorder="1" applyAlignment="1" applyProtection="1">
      <alignment horizontal="right" vertical="center"/>
      <protection locked="0"/>
    </xf>
    <xf numFmtId="181" fontId="5" fillId="3" borderId="13" xfId="0" applyNumberFormat="1" applyFont="1" applyFill="1" applyBorder="1" applyAlignment="1" applyProtection="1">
      <alignment horizontal="right" vertical="center"/>
      <protection locked="0"/>
    </xf>
    <xf numFmtId="179" fontId="5" fillId="0" borderId="10" xfId="0" applyNumberFormat="1" applyFont="1" applyBorder="1" applyAlignment="1" applyProtection="1">
      <alignment horizontal="right" vertical="center"/>
    </xf>
    <xf numFmtId="181" fontId="5" fillId="3" borderId="10" xfId="0" applyNumberFormat="1" applyFont="1" applyFill="1" applyBorder="1" applyAlignment="1" applyProtection="1">
      <alignment horizontal="right" vertical="center"/>
      <protection locked="0"/>
    </xf>
    <xf numFmtId="179" fontId="5" fillId="0" borderId="19" xfId="0" applyNumberFormat="1" applyFont="1" applyBorder="1" applyAlignment="1" applyProtection="1">
      <alignment horizontal="right" vertical="center" wrapText="1"/>
    </xf>
    <xf numFmtId="179" fontId="5" fillId="0" borderId="1" xfId="0" applyNumberFormat="1" applyFont="1" applyBorder="1" applyAlignment="1" applyProtection="1">
      <alignment horizontal="right" vertical="center" wrapText="1"/>
    </xf>
    <xf numFmtId="0" fontId="6" fillId="0" borderId="19" xfId="0" applyFont="1" applyBorder="1" applyAlignment="1" applyProtection="1">
      <alignment horizontal="center" vertical="center" wrapText="1"/>
    </xf>
    <xf numFmtId="0" fontId="6" fillId="0" borderId="19" xfId="0" applyFont="1" applyBorder="1" applyAlignment="1" applyProtection="1">
      <alignment horizontal="center" vertical="center"/>
    </xf>
    <xf numFmtId="0" fontId="5" fillId="0" borderId="0" xfId="0" applyFont="1" applyBorder="1" applyAlignment="1" applyProtection="1">
      <alignment horizontal="left" vertical="center" wrapText="1"/>
    </xf>
    <xf numFmtId="0" fontId="8" fillId="0" borderId="2" xfId="0" applyFont="1" applyBorder="1" applyAlignment="1" applyProtection="1">
      <alignment horizontal="left" vertical="center"/>
    </xf>
    <xf numFmtId="0" fontId="8" fillId="0" borderId="6" xfId="0" applyFont="1" applyBorder="1" applyAlignment="1" applyProtection="1">
      <alignment horizontal="left" vertical="center"/>
    </xf>
    <xf numFmtId="0" fontId="8" fillId="0" borderId="10" xfId="0" applyFont="1" applyBorder="1" applyAlignment="1" applyProtection="1">
      <alignment horizontal="left" vertical="center"/>
    </xf>
    <xf numFmtId="0" fontId="8" fillId="0" borderId="3" xfId="0" applyFont="1" applyBorder="1" applyAlignment="1" applyProtection="1">
      <alignment horizontal="left" vertical="center" wrapText="1"/>
    </xf>
    <xf numFmtId="0" fontId="8" fillId="0" borderId="0" xfId="0" applyFont="1" applyBorder="1" applyAlignment="1" applyProtection="1">
      <alignment horizontal="left" vertical="center"/>
    </xf>
    <xf numFmtId="0" fontId="8" fillId="0" borderId="11" xfId="0" applyFont="1" applyBorder="1" applyAlignment="1" applyProtection="1">
      <alignment horizontal="left" vertical="center"/>
    </xf>
    <xf numFmtId="181" fontId="5" fillId="3" borderId="1" xfId="0" applyNumberFormat="1" applyFont="1" applyFill="1" applyBorder="1" applyAlignment="1" applyProtection="1">
      <alignment horizontal="right" vertical="center"/>
    </xf>
    <xf numFmtId="181" fontId="5" fillId="3" borderId="9" xfId="0" applyNumberFormat="1" applyFont="1" applyFill="1" applyBorder="1" applyAlignment="1" applyProtection="1">
      <alignment horizontal="right" vertical="center"/>
    </xf>
    <xf numFmtId="0" fontId="5" fillId="3" borderId="1" xfId="0" applyFont="1" applyFill="1" applyBorder="1" applyAlignment="1" applyProtection="1">
      <alignment horizontal="center" vertical="center"/>
      <protection locked="0"/>
    </xf>
    <xf numFmtId="0" fontId="5" fillId="3" borderId="5" xfId="0" applyFont="1" applyFill="1" applyBorder="1" applyAlignment="1" applyProtection="1">
      <alignment horizontal="center" vertical="center"/>
      <protection locked="0"/>
    </xf>
    <xf numFmtId="0" fontId="5" fillId="3" borderId="9" xfId="0" applyFont="1" applyFill="1" applyBorder="1" applyAlignment="1" applyProtection="1">
      <alignment horizontal="center" vertical="center"/>
      <protection locked="0"/>
    </xf>
    <xf numFmtId="0" fontId="5" fillId="0" borderId="13" xfId="0" applyFont="1" applyFill="1" applyBorder="1" applyAlignment="1" applyProtection="1">
      <alignment horizontal="center" vertical="center" wrapText="1"/>
    </xf>
    <xf numFmtId="0" fontId="5" fillId="0" borderId="40" xfId="0" applyFont="1" applyFill="1" applyBorder="1" applyAlignment="1" applyProtection="1">
      <alignment horizontal="center" vertical="center" wrapText="1"/>
    </xf>
    <xf numFmtId="0" fontId="5" fillId="0" borderId="20" xfId="0" applyFont="1" applyFill="1" applyBorder="1" applyAlignment="1" applyProtection="1">
      <alignment horizontal="center" vertical="center" wrapText="1"/>
    </xf>
    <xf numFmtId="0" fontId="5" fillId="0" borderId="64" xfId="0" applyFont="1" applyFill="1" applyBorder="1" applyAlignment="1" applyProtection="1">
      <alignment horizontal="center" vertical="center"/>
    </xf>
    <xf numFmtId="0" fontId="5" fillId="0" borderId="65" xfId="0" applyFont="1" applyFill="1" applyBorder="1" applyAlignment="1" applyProtection="1">
      <alignment horizontal="center" vertical="center"/>
    </xf>
    <xf numFmtId="0" fontId="5" fillId="0" borderId="66" xfId="0" applyFont="1" applyFill="1" applyBorder="1" applyAlignment="1" applyProtection="1">
      <alignment horizontal="center" vertical="center"/>
    </xf>
    <xf numFmtId="0" fontId="5" fillId="0" borderId="4" xfId="0" applyFont="1" applyFill="1" applyBorder="1" applyAlignment="1" applyProtection="1">
      <alignment horizontal="center" vertical="center"/>
    </xf>
    <xf numFmtId="0" fontId="5" fillId="0" borderId="7" xfId="0" applyFont="1" applyFill="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19" xfId="0" applyFont="1" applyBorder="1" applyAlignment="1" applyProtection="1">
      <alignment horizontal="center" vertical="center"/>
    </xf>
    <xf numFmtId="0" fontId="5" fillId="0" borderId="2" xfId="0" applyFont="1" applyBorder="1" applyAlignment="1" applyProtection="1">
      <alignment horizontal="center" vertical="center"/>
    </xf>
    <xf numFmtId="0" fontId="5" fillId="0" borderId="10" xfId="0" applyFont="1" applyBorder="1" applyAlignment="1" applyProtection="1">
      <alignment horizontal="center" vertical="center"/>
    </xf>
    <xf numFmtId="0" fontId="10" fillId="0" borderId="2" xfId="0" applyFont="1" applyBorder="1" applyAlignment="1" applyProtection="1">
      <alignment horizontal="center" vertical="center" wrapText="1"/>
    </xf>
    <xf numFmtId="0" fontId="10" fillId="0" borderId="6" xfId="0" applyFont="1" applyBorder="1" applyAlignment="1" applyProtection="1">
      <alignment horizontal="center" vertical="center" wrapText="1"/>
    </xf>
    <xf numFmtId="0" fontId="10" fillId="0" borderId="10" xfId="0" applyFont="1" applyBorder="1" applyAlignment="1" applyProtection="1">
      <alignment horizontal="center" vertical="center" wrapText="1"/>
    </xf>
    <xf numFmtId="0" fontId="10" fillId="0" borderId="4" xfId="0" applyFont="1" applyBorder="1" applyAlignment="1" applyProtection="1">
      <alignment horizontal="center" vertical="center" wrapText="1"/>
    </xf>
    <xf numFmtId="0" fontId="10" fillId="0" borderId="7" xfId="0" applyFont="1" applyBorder="1" applyAlignment="1" applyProtection="1">
      <alignment horizontal="center" vertical="center" wrapText="1"/>
    </xf>
    <xf numFmtId="0" fontId="10" fillId="0" borderId="12" xfId="0" applyFont="1" applyBorder="1" applyAlignment="1" applyProtection="1">
      <alignment horizontal="center" vertical="center" wrapText="1"/>
    </xf>
    <xf numFmtId="0" fontId="5" fillId="0" borderId="7" xfId="0" applyFont="1" applyBorder="1" applyAlignment="1" applyProtection="1">
      <alignment horizontal="center" vertical="center"/>
    </xf>
    <xf numFmtId="181" fontId="5" fillId="3" borderId="6" xfId="0" applyNumberFormat="1" applyFont="1" applyFill="1" applyBorder="1" applyAlignment="1" applyProtection="1">
      <alignment horizontal="right" vertical="center"/>
    </xf>
    <xf numFmtId="181" fontId="5" fillId="3" borderId="10" xfId="0" applyNumberFormat="1" applyFont="1" applyFill="1" applyBorder="1" applyAlignment="1" applyProtection="1">
      <alignment horizontal="right" vertical="center"/>
    </xf>
    <xf numFmtId="181" fontId="5" fillId="3" borderId="7" xfId="0" applyNumberFormat="1" applyFont="1" applyFill="1" applyBorder="1" applyAlignment="1" applyProtection="1">
      <alignment horizontal="right" vertical="center"/>
    </xf>
    <xf numFmtId="181" fontId="5" fillId="3" borderId="12" xfId="0" applyNumberFormat="1" applyFont="1" applyFill="1" applyBorder="1" applyAlignment="1" applyProtection="1">
      <alignment horizontal="right" vertical="center"/>
    </xf>
    <xf numFmtId="0" fontId="5" fillId="3" borderId="1" xfId="0" applyFont="1" applyFill="1" applyBorder="1" applyAlignment="1" applyProtection="1">
      <alignment horizontal="center" vertical="center" shrinkToFit="1"/>
      <protection locked="0"/>
    </xf>
    <xf numFmtId="0" fontId="5" fillId="3" borderId="5" xfId="0"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shrinkToFit="1"/>
      <protection locked="0"/>
    </xf>
    <xf numFmtId="0" fontId="10" fillId="3" borderId="1" xfId="0" applyFont="1" applyFill="1" applyBorder="1" applyAlignment="1" applyProtection="1">
      <alignment horizontal="center" vertical="center" shrinkToFit="1"/>
      <protection locked="0"/>
    </xf>
    <xf numFmtId="0" fontId="10" fillId="3" borderId="5" xfId="0" applyFont="1" applyFill="1" applyBorder="1" applyAlignment="1" applyProtection="1">
      <alignment horizontal="center" vertical="center" shrinkToFit="1"/>
      <protection locked="0"/>
    </xf>
    <xf numFmtId="0" fontId="10" fillId="3" borderId="9" xfId="0" applyFont="1" applyFill="1" applyBorder="1" applyAlignment="1" applyProtection="1">
      <alignment horizontal="center" vertical="center" shrinkToFit="1"/>
      <protection locked="0"/>
    </xf>
    <xf numFmtId="0" fontId="21" fillId="0" borderId="1" xfId="0" applyFont="1" applyFill="1" applyBorder="1" applyAlignment="1" applyProtection="1">
      <alignment horizontal="center" vertical="center" wrapText="1"/>
    </xf>
    <xf numFmtId="0" fontId="21" fillId="0" borderId="5" xfId="0" applyFont="1" applyFill="1" applyBorder="1" applyAlignment="1" applyProtection="1">
      <alignment horizontal="center" vertical="center" wrapText="1"/>
    </xf>
    <xf numFmtId="0" fontId="21" fillId="0" borderId="9" xfId="0" applyFont="1" applyFill="1" applyBorder="1" applyAlignment="1" applyProtection="1">
      <alignment horizontal="center" vertical="center" wrapText="1"/>
    </xf>
    <xf numFmtId="0" fontId="4" fillId="0" borderId="0" xfId="0" applyFont="1" applyAlignment="1" applyProtection="1">
      <alignment horizontal="center" vertical="center"/>
    </xf>
    <xf numFmtId="201" fontId="5" fillId="3" borderId="1" xfId="0" applyNumberFormat="1" applyFont="1" applyFill="1" applyBorder="1" applyAlignment="1" applyProtection="1">
      <alignment horizontal="right" vertical="center"/>
      <protection locked="0"/>
    </xf>
    <xf numFmtId="201" fontId="5" fillId="3" borderId="5" xfId="0" applyNumberFormat="1" applyFont="1" applyFill="1" applyBorder="1" applyAlignment="1" applyProtection="1">
      <alignment horizontal="right" vertical="center"/>
      <protection locked="0"/>
    </xf>
    <xf numFmtId="201" fontId="5" fillId="3" borderId="9" xfId="0" applyNumberFormat="1" applyFont="1" applyFill="1" applyBorder="1" applyAlignment="1" applyProtection="1">
      <alignment horizontal="right" vertical="center"/>
      <protection locked="0"/>
    </xf>
    <xf numFmtId="201" fontId="5" fillId="0" borderId="9" xfId="0" applyNumberFormat="1" applyFont="1" applyFill="1" applyBorder="1" applyAlignment="1" applyProtection="1">
      <alignment horizontal="right" vertical="center"/>
    </xf>
    <xf numFmtId="201" fontId="5" fillId="4" borderId="1" xfId="0" applyNumberFormat="1" applyFont="1" applyFill="1" applyBorder="1" applyAlignment="1" applyProtection="1">
      <alignment horizontal="right" vertical="center"/>
      <protection locked="0"/>
    </xf>
    <xf numFmtId="201" fontId="5" fillId="4" borderId="5" xfId="0" applyNumberFormat="1" applyFont="1" applyFill="1" applyBorder="1" applyAlignment="1" applyProtection="1">
      <alignment horizontal="right" vertical="center"/>
      <protection locked="0"/>
    </xf>
    <xf numFmtId="201" fontId="5" fillId="4" borderId="9" xfId="0" applyNumberFormat="1" applyFont="1" applyFill="1" applyBorder="1" applyAlignment="1" applyProtection="1">
      <alignment horizontal="right" vertical="center"/>
      <protection locked="0"/>
    </xf>
    <xf numFmtId="0" fontId="9" fillId="0" borderId="1" xfId="0" applyFont="1" applyBorder="1" applyAlignment="1" applyProtection="1">
      <alignment horizontal="center" vertical="center"/>
    </xf>
    <xf numFmtId="0" fontId="9" fillId="0" borderId="5" xfId="0" applyFont="1" applyBorder="1" applyAlignment="1" applyProtection="1">
      <alignment horizontal="center" vertical="center"/>
    </xf>
    <xf numFmtId="0" fontId="9" fillId="0" borderId="9" xfId="0" applyFont="1" applyBorder="1" applyAlignment="1" applyProtection="1">
      <alignment horizontal="center" vertical="center"/>
    </xf>
    <xf numFmtId="58" fontId="5" fillId="0" borderId="0" xfId="0" applyNumberFormat="1" applyFont="1" applyFill="1" applyBorder="1" applyAlignment="1" applyProtection="1">
      <alignment horizontal="right" vertical="center"/>
      <protection locked="0"/>
    </xf>
    <xf numFmtId="191" fontId="6" fillId="0" borderId="1" xfId="0" applyNumberFormat="1" applyFont="1" applyBorder="1" applyAlignment="1" applyProtection="1">
      <alignment horizontal="center" vertical="center"/>
    </xf>
    <xf numFmtId="191" fontId="6" fillId="0" borderId="5" xfId="0" applyNumberFormat="1" applyFont="1" applyBorder="1" applyAlignment="1" applyProtection="1">
      <alignment horizontal="center" vertical="center"/>
    </xf>
    <xf numFmtId="0" fontId="6" fillId="0" borderId="1" xfId="0" applyFont="1" applyFill="1" applyBorder="1" applyAlignment="1" applyProtection="1">
      <alignment horizontal="center" vertical="center"/>
      <protection locked="0"/>
    </xf>
    <xf numFmtId="0" fontId="6" fillId="0" borderId="5" xfId="0" applyFont="1" applyFill="1" applyBorder="1" applyAlignment="1" applyProtection="1">
      <alignment horizontal="center" vertical="center"/>
      <protection locked="0"/>
    </xf>
    <xf numFmtId="0" fontId="6" fillId="0" borderId="9" xfId="0" applyFont="1" applyFill="1" applyBorder="1" applyAlignment="1" applyProtection="1">
      <alignment horizontal="center" vertical="center"/>
      <protection locked="0"/>
    </xf>
    <xf numFmtId="191" fontId="6" fillId="0" borderId="9" xfId="0" applyNumberFormat="1" applyFont="1" applyBorder="1" applyAlignment="1" applyProtection="1">
      <alignment horizontal="center" vertical="center"/>
    </xf>
    <xf numFmtId="185" fontId="5" fillId="3" borderId="52" xfId="1" applyNumberFormat="1" applyFont="1" applyFill="1" applyBorder="1" applyAlignment="1" applyProtection="1">
      <alignment horizontal="center" vertical="center"/>
      <protection locked="0"/>
    </xf>
    <xf numFmtId="185" fontId="5" fillId="3" borderId="53" xfId="1" applyNumberFormat="1" applyFont="1" applyFill="1" applyBorder="1" applyAlignment="1" applyProtection="1">
      <alignment horizontal="center" vertical="center"/>
      <protection locked="0"/>
    </xf>
    <xf numFmtId="185" fontId="5" fillId="3" borderId="54" xfId="1" applyNumberFormat="1" applyFont="1" applyFill="1" applyBorder="1" applyAlignment="1" applyProtection="1">
      <alignment horizontal="center" vertical="center"/>
      <protection locked="0"/>
    </xf>
    <xf numFmtId="180" fontId="5" fillId="3" borderId="52" xfId="0" applyNumberFormat="1" applyFont="1" applyFill="1" applyBorder="1" applyAlignment="1" applyProtection="1">
      <alignment horizontal="center" vertical="center"/>
      <protection locked="0"/>
    </xf>
    <xf numFmtId="180" fontId="5" fillId="3" borderId="53" xfId="0" applyNumberFormat="1" applyFont="1" applyFill="1" applyBorder="1" applyAlignment="1" applyProtection="1">
      <alignment horizontal="center" vertical="center"/>
      <protection locked="0"/>
    </xf>
    <xf numFmtId="180" fontId="5" fillId="3" borderId="54" xfId="0" applyNumberFormat="1" applyFont="1" applyFill="1" applyBorder="1" applyAlignment="1" applyProtection="1">
      <alignment horizontal="center" vertical="center"/>
      <protection locked="0"/>
    </xf>
    <xf numFmtId="0" fontId="13" fillId="0" borderId="59"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3" fillId="0" borderId="2" xfId="0" applyFont="1" applyBorder="1" applyAlignment="1" applyProtection="1">
      <alignment horizontal="center" vertical="center"/>
    </xf>
    <xf numFmtId="0" fontId="3" fillId="0" borderId="6" xfId="0" applyFont="1" applyBorder="1" applyAlignment="1" applyProtection="1">
      <alignment horizontal="center" vertical="center"/>
    </xf>
    <xf numFmtId="0" fontId="3" fillId="0" borderId="10" xfId="0" applyFont="1" applyBorder="1" applyAlignment="1" applyProtection="1">
      <alignment horizontal="center" vertical="center"/>
    </xf>
    <xf numFmtId="0" fontId="8" fillId="0" borderId="3" xfId="0" applyFont="1" applyBorder="1" applyAlignment="1" applyProtection="1">
      <alignment horizontal="left" vertical="center"/>
    </xf>
    <xf numFmtId="0" fontId="8" fillId="0" borderId="4" xfId="0" applyFont="1" applyBorder="1" applyAlignment="1" applyProtection="1">
      <alignment horizontal="left" vertical="center" wrapText="1"/>
    </xf>
    <xf numFmtId="0" fontId="8" fillId="0" borderId="7" xfId="0" applyFont="1" applyBorder="1" applyAlignment="1" applyProtection="1">
      <alignment horizontal="left" vertical="center"/>
    </xf>
    <xf numFmtId="0" fontId="8" fillId="0" borderId="12" xfId="0" applyFont="1" applyBorder="1" applyAlignment="1" applyProtection="1">
      <alignment horizontal="left" vertical="center"/>
    </xf>
    <xf numFmtId="0" fontId="5" fillId="3" borderId="3" xfId="0" applyFont="1" applyFill="1" applyBorder="1" applyAlignment="1" applyProtection="1">
      <alignment horizontal="center" vertical="center"/>
      <protection locked="0"/>
    </xf>
    <xf numFmtId="0" fontId="5" fillId="3" borderId="0" xfId="0" applyFont="1" applyFill="1" applyBorder="1" applyAlignment="1" applyProtection="1">
      <alignment horizontal="center" vertical="center"/>
      <protection locked="0"/>
    </xf>
    <xf numFmtId="0" fontId="5" fillId="3" borderId="11" xfId="0" applyFont="1" applyFill="1" applyBorder="1" applyAlignment="1" applyProtection="1">
      <alignment horizontal="center" vertical="center"/>
      <protection locked="0"/>
    </xf>
    <xf numFmtId="0" fontId="9" fillId="0" borderId="6" xfId="0" applyFont="1" applyBorder="1" applyAlignment="1" applyProtection="1">
      <alignment horizontal="left" vertical="center" wrapText="1"/>
    </xf>
    <xf numFmtId="0" fontId="9" fillId="0" borderId="6" xfId="0" applyFont="1" applyBorder="1" applyAlignment="1" applyProtection="1">
      <alignment horizontal="left" vertical="center"/>
    </xf>
    <xf numFmtId="186" fontId="6" fillId="4" borderId="79" xfId="0" applyNumberFormat="1" applyFont="1" applyFill="1" applyBorder="1" applyAlignment="1" applyProtection="1">
      <alignment horizontal="center" vertical="center"/>
    </xf>
    <xf numFmtId="186" fontId="6" fillId="4" borderId="17" xfId="0" applyNumberFormat="1" applyFont="1" applyFill="1" applyBorder="1" applyAlignment="1" applyProtection="1">
      <alignment horizontal="center" vertical="center"/>
    </xf>
    <xf numFmtId="186" fontId="6" fillId="4" borderId="70" xfId="0" applyNumberFormat="1" applyFont="1" applyFill="1" applyBorder="1" applyAlignment="1" applyProtection="1">
      <alignment horizontal="center" vertical="center"/>
    </xf>
    <xf numFmtId="200" fontId="6" fillId="4" borderId="71" xfId="0" applyNumberFormat="1" applyFont="1" applyFill="1" applyBorder="1" applyAlignment="1" applyProtection="1">
      <alignment horizontal="center" vertical="center"/>
    </xf>
    <xf numFmtId="200" fontId="6" fillId="4" borderId="6" xfId="0" applyNumberFormat="1" applyFont="1" applyFill="1" applyBorder="1" applyAlignment="1" applyProtection="1">
      <alignment horizontal="center" vertical="center"/>
    </xf>
    <xf numFmtId="200" fontId="6" fillId="4" borderId="10" xfId="0" applyNumberFormat="1" applyFont="1" applyFill="1" applyBorder="1" applyAlignment="1" applyProtection="1">
      <alignment horizontal="center" vertical="center"/>
    </xf>
    <xf numFmtId="186" fontId="6" fillId="4" borderId="71" xfId="0" applyNumberFormat="1" applyFont="1" applyFill="1" applyBorder="1" applyAlignment="1" applyProtection="1">
      <alignment horizontal="center" vertical="center"/>
    </xf>
    <xf numFmtId="186" fontId="6" fillId="4" borderId="6" xfId="0" applyNumberFormat="1" applyFont="1" applyFill="1" applyBorder="1" applyAlignment="1" applyProtection="1">
      <alignment horizontal="center" vertical="center"/>
    </xf>
    <xf numFmtId="186" fontId="6" fillId="4" borderId="10" xfId="0" applyNumberFormat="1" applyFont="1" applyFill="1" applyBorder="1" applyAlignment="1" applyProtection="1">
      <alignment horizontal="center" vertical="center"/>
    </xf>
    <xf numFmtId="0" fontId="11" fillId="2" borderId="5" xfId="0" applyNumberFormat="1"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11" fillId="2" borderId="9" xfId="0" applyFont="1" applyFill="1" applyBorder="1" applyAlignment="1" applyProtection="1">
      <alignment horizontal="center" vertical="center"/>
    </xf>
    <xf numFmtId="192" fontId="10" fillId="3" borderId="2" xfId="0" applyNumberFormat="1" applyFont="1" applyFill="1" applyBorder="1" applyAlignment="1" applyProtection="1">
      <alignment horizontal="center" vertical="center"/>
      <protection locked="0"/>
    </xf>
    <xf numFmtId="192" fontId="10" fillId="3" borderId="6" xfId="0" applyNumberFormat="1" applyFont="1" applyFill="1" applyBorder="1" applyAlignment="1" applyProtection="1">
      <alignment horizontal="center" vertical="center"/>
      <protection locked="0"/>
    </xf>
    <xf numFmtId="192" fontId="10" fillId="3" borderId="10" xfId="0" applyNumberFormat="1" applyFont="1" applyFill="1" applyBorder="1" applyAlignment="1" applyProtection="1">
      <alignment horizontal="center" vertical="center"/>
      <protection locked="0"/>
    </xf>
    <xf numFmtId="192" fontId="10" fillId="3" borderId="4" xfId="0" applyNumberFormat="1" applyFont="1" applyFill="1" applyBorder="1" applyAlignment="1" applyProtection="1">
      <alignment horizontal="center" vertical="center"/>
      <protection locked="0"/>
    </xf>
    <xf numFmtId="192" fontId="10" fillId="3" borderId="7" xfId="0" applyNumberFormat="1" applyFont="1" applyFill="1" applyBorder="1" applyAlignment="1" applyProtection="1">
      <alignment horizontal="center" vertical="center"/>
      <protection locked="0"/>
    </xf>
    <xf numFmtId="192" fontId="10" fillId="3" borderId="12" xfId="0" applyNumberFormat="1" applyFont="1" applyFill="1" applyBorder="1" applyAlignment="1" applyProtection="1">
      <alignment horizontal="center" vertical="center"/>
      <protection locked="0"/>
    </xf>
    <xf numFmtId="192" fontId="5" fillId="3" borderId="1" xfId="0" applyNumberFormat="1" applyFont="1" applyFill="1" applyBorder="1" applyAlignment="1" applyProtection="1">
      <alignment horizontal="center" vertical="center"/>
      <protection locked="0"/>
    </xf>
    <xf numFmtId="192" fontId="5" fillId="3" borderId="5" xfId="0" applyNumberFormat="1" applyFont="1" applyFill="1" applyBorder="1" applyAlignment="1" applyProtection="1">
      <alignment horizontal="center" vertical="center"/>
      <protection locked="0"/>
    </xf>
    <xf numFmtId="192" fontId="5" fillId="3" borderId="9" xfId="0" applyNumberFormat="1" applyFont="1" applyFill="1" applyBorder="1" applyAlignment="1" applyProtection="1">
      <alignment horizontal="center" vertical="center"/>
      <protection locked="0"/>
    </xf>
    <xf numFmtId="186" fontId="6" fillId="3" borderId="19" xfId="0" applyNumberFormat="1" applyFont="1" applyFill="1" applyBorder="1" applyAlignment="1" applyProtection="1">
      <alignment horizontal="center" vertical="center"/>
    </xf>
    <xf numFmtId="186" fontId="6" fillId="4" borderId="1" xfId="0" applyNumberFormat="1" applyFont="1" applyFill="1" applyBorder="1" applyAlignment="1" applyProtection="1">
      <alignment horizontal="center" vertical="center"/>
    </xf>
    <xf numFmtId="186" fontId="6" fillId="4" borderId="9" xfId="0" applyNumberFormat="1" applyFont="1" applyFill="1" applyBorder="1" applyAlignment="1" applyProtection="1">
      <alignment horizontal="center" vertical="center"/>
    </xf>
    <xf numFmtId="186" fontId="5" fillId="3" borderId="2" xfId="0" applyNumberFormat="1" applyFont="1" applyFill="1" applyBorder="1" applyAlignment="1" applyProtection="1">
      <alignment horizontal="center" vertical="center"/>
    </xf>
    <xf numFmtId="186" fontId="5" fillId="3" borderId="6" xfId="0" applyNumberFormat="1" applyFont="1" applyFill="1" applyBorder="1" applyAlignment="1" applyProtection="1">
      <alignment horizontal="center" vertical="center"/>
    </xf>
    <xf numFmtId="186" fontId="5" fillId="3" borderId="10" xfId="0" applyNumberFormat="1" applyFont="1" applyFill="1" applyBorder="1" applyAlignment="1" applyProtection="1">
      <alignment horizontal="center" vertical="center"/>
    </xf>
    <xf numFmtId="186" fontId="5" fillId="3" borderId="4" xfId="0" applyNumberFormat="1" applyFont="1" applyFill="1" applyBorder="1" applyAlignment="1" applyProtection="1">
      <alignment horizontal="center" vertical="center"/>
    </xf>
    <xf numFmtId="186" fontId="5" fillId="3" borderId="7" xfId="0" applyNumberFormat="1" applyFont="1" applyFill="1" applyBorder="1" applyAlignment="1" applyProtection="1">
      <alignment horizontal="center" vertical="center"/>
    </xf>
    <xf numFmtId="186" fontId="5" fillId="3" borderId="12" xfId="0" applyNumberFormat="1" applyFont="1" applyFill="1" applyBorder="1" applyAlignment="1" applyProtection="1">
      <alignment horizontal="center" vertical="center"/>
    </xf>
    <xf numFmtId="186" fontId="5" fillId="4" borderId="1" xfId="0" applyNumberFormat="1" applyFont="1" applyFill="1" applyBorder="1" applyAlignment="1" applyProtection="1">
      <alignment horizontal="center" vertical="center"/>
    </xf>
    <xf numFmtId="186" fontId="5" fillId="4" borderId="5" xfId="0" applyNumberFormat="1" applyFont="1" applyFill="1" applyBorder="1" applyAlignment="1" applyProtection="1">
      <alignment horizontal="center" vertical="center"/>
    </xf>
    <xf numFmtId="186" fontId="5" fillId="4" borderId="9" xfId="0" applyNumberFormat="1" applyFont="1" applyFill="1" applyBorder="1" applyAlignment="1" applyProtection="1">
      <alignment horizontal="center" vertical="center"/>
    </xf>
    <xf numFmtId="186" fontId="5" fillId="3" borderId="3" xfId="0" applyNumberFormat="1" applyFont="1" applyFill="1" applyBorder="1" applyAlignment="1" applyProtection="1">
      <alignment horizontal="center" vertical="center"/>
    </xf>
    <xf numFmtId="186" fontId="5" fillId="3" borderId="0" xfId="0" applyNumberFormat="1" applyFont="1" applyFill="1" applyBorder="1" applyAlignment="1" applyProtection="1">
      <alignment horizontal="center" vertical="center"/>
    </xf>
    <xf numFmtId="186" fontId="5" fillId="3" borderId="11" xfId="0" applyNumberFormat="1" applyFont="1" applyFill="1" applyBorder="1" applyAlignment="1" applyProtection="1">
      <alignment horizontal="center" vertical="center"/>
    </xf>
    <xf numFmtId="186" fontId="5" fillId="3" borderId="2" xfId="0" applyNumberFormat="1" applyFont="1" applyFill="1" applyBorder="1" applyAlignment="1" applyProtection="1">
      <alignment horizontal="center" vertical="center" wrapText="1"/>
    </xf>
    <xf numFmtId="186" fontId="5" fillId="3" borderId="6" xfId="0" applyNumberFormat="1" applyFont="1" applyFill="1" applyBorder="1" applyAlignment="1" applyProtection="1">
      <alignment horizontal="center" vertical="center" wrapText="1"/>
    </xf>
    <xf numFmtId="186" fontId="5" fillId="3" borderId="10" xfId="0" applyNumberFormat="1" applyFont="1" applyFill="1" applyBorder="1" applyAlignment="1" applyProtection="1">
      <alignment horizontal="center" vertical="center" wrapText="1"/>
    </xf>
    <xf numFmtId="186" fontId="5" fillId="3" borderId="3" xfId="0" applyNumberFormat="1" applyFont="1" applyFill="1" applyBorder="1" applyAlignment="1" applyProtection="1">
      <alignment horizontal="center" vertical="center" wrapText="1"/>
    </xf>
    <xf numFmtId="186" fontId="5" fillId="3" borderId="0" xfId="0" applyNumberFormat="1" applyFont="1" applyFill="1" applyBorder="1" applyAlignment="1" applyProtection="1">
      <alignment horizontal="center" vertical="center" wrapText="1"/>
    </xf>
    <xf numFmtId="186" fontId="5" fillId="3" borderId="11" xfId="0" applyNumberFormat="1" applyFont="1" applyFill="1" applyBorder="1" applyAlignment="1" applyProtection="1">
      <alignment horizontal="center" vertical="center" wrapText="1"/>
    </xf>
    <xf numFmtId="186" fontId="5" fillId="3" borderId="4" xfId="0" applyNumberFormat="1" applyFont="1" applyFill="1" applyBorder="1" applyAlignment="1" applyProtection="1">
      <alignment horizontal="center" vertical="center" wrapText="1"/>
    </xf>
    <xf numFmtId="186" fontId="5" fillId="3" borderId="7" xfId="0" applyNumberFormat="1" applyFont="1" applyFill="1" applyBorder="1" applyAlignment="1" applyProtection="1">
      <alignment horizontal="center" vertical="center" wrapText="1"/>
    </xf>
    <xf numFmtId="186" fontId="5" fillId="3" borderId="12" xfId="0" applyNumberFormat="1" applyFont="1" applyFill="1" applyBorder="1" applyAlignment="1" applyProtection="1">
      <alignment horizontal="center" vertical="center" wrapText="1"/>
    </xf>
    <xf numFmtId="186" fontId="5" fillId="4" borderId="2" xfId="0" applyNumberFormat="1" applyFont="1" applyFill="1" applyBorder="1" applyAlignment="1" applyProtection="1">
      <alignment horizontal="center" vertical="center" wrapText="1"/>
    </xf>
    <xf numFmtId="186" fontId="5" fillId="4" borderId="6" xfId="0" applyNumberFormat="1" applyFont="1" applyFill="1" applyBorder="1" applyAlignment="1" applyProtection="1">
      <alignment horizontal="center" vertical="center" wrapText="1"/>
    </xf>
    <xf numFmtId="186" fontId="5" fillId="4" borderId="10" xfId="0" applyNumberFormat="1" applyFont="1" applyFill="1" applyBorder="1" applyAlignment="1" applyProtection="1">
      <alignment horizontal="center" vertical="center" wrapText="1"/>
    </xf>
    <xf numFmtId="186" fontId="5" fillId="4" borderId="3" xfId="0" applyNumberFormat="1" applyFont="1" applyFill="1" applyBorder="1" applyAlignment="1" applyProtection="1">
      <alignment horizontal="center" vertical="center" wrapText="1"/>
    </xf>
    <xf numFmtId="186" fontId="5" fillId="4" borderId="0" xfId="0" applyNumberFormat="1" applyFont="1" applyFill="1" applyBorder="1" applyAlignment="1" applyProtection="1">
      <alignment horizontal="center" vertical="center" wrapText="1"/>
    </xf>
    <xf numFmtId="186" fontId="5" fillId="4" borderId="11" xfId="0" applyNumberFormat="1" applyFont="1" applyFill="1" applyBorder="1" applyAlignment="1" applyProtection="1">
      <alignment horizontal="center" vertical="center" wrapText="1"/>
    </xf>
    <xf numFmtId="186" fontId="5" fillId="4" borderId="4" xfId="0" applyNumberFormat="1" applyFont="1" applyFill="1" applyBorder="1" applyAlignment="1" applyProtection="1">
      <alignment horizontal="center" vertical="center" wrapText="1"/>
    </xf>
    <xf numFmtId="186" fontId="5" fillId="4" borderId="7" xfId="0" applyNumberFormat="1" applyFont="1" applyFill="1" applyBorder="1" applyAlignment="1" applyProtection="1">
      <alignment horizontal="center" vertical="center" wrapText="1"/>
    </xf>
    <xf numFmtId="186" fontId="5" fillId="4" borderId="12" xfId="0" applyNumberFormat="1" applyFont="1" applyFill="1" applyBorder="1" applyAlignment="1" applyProtection="1">
      <alignment horizontal="center" vertical="center" wrapText="1"/>
    </xf>
    <xf numFmtId="55" fontId="6" fillId="0" borderId="1" xfId="0" applyNumberFormat="1" applyFont="1" applyBorder="1" applyAlignment="1" applyProtection="1">
      <alignment horizontal="center" vertical="center"/>
    </xf>
    <xf numFmtId="55" fontId="6" fillId="0" borderId="5" xfId="0" applyNumberFormat="1" applyFont="1" applyBorder="1" applyAlignment="1" applyProtection="1">
      <alignment horizontal="center" vertical="center"/>
    </xf>
    <xf numFmtId="55" fontId="6" fillId="0" borderId="9" xfId="0" applyNumberFormat="1" applyFont="1" applyBorder="1" applyAlignment="1" applyProtection="1">
      <alignment horizontal="center" vertical="center"/>
    </xf>
    <xf numFmtId="186" fontId="5" fillId="4" borderId="2" xfId="0" applyNumberFormat="1" applyFont="1" applyFill="1" applyBorder="1" applyAlignment="1" applyProtection="1">
      <alignment horizontal="center" vertical="center"/>
    </xf>
    <xf numFmtId="186" fontId="5" fillId="4" borderId="6" xfId="0" applyNumberFormat="1" applyFont="1" applyFill="1" applyBorder="1" applyAlignment="1" applyProtection="1">
      <alignment horizontal="center" vertical="center"/>
    </xf>
    <xf numFmtId="186" fontId="5" fillId="4" borderId="10" xfId="0" applyNumberFormat="1" applyFont="1" applyFill="1" applyBorder="1" applyAlignment="1" applyProtection="1">
      <alignment horizontal="center" vertical="center"/>
    </xf>
    <xf numFmtId="186" fontId="5" fillId="4" borderId="3" xfId="0" applyNumberFormat="1" applyFont="1" applyFill="1" applyBorder="1" applyAlignment="1" applyProtection="1">
      <alignment horizontal="center" vertical="center"/>
    </xf>
    <xf numFmtId="186" fontId="5" fillId="4" borderId="0" xfId="0" applyNumberFormat="1" applyFont="1" applyFill="1" applyBorder="1" applyAlignment="1" applyProtection="1">
      <alignment horizontal="center" vertical="center"/>
    </xf>
    <xf numFmtId="186" fontId="5" fillId="4" borderId="11" xfId="0" applyNumberFormat="1" applyFont="1" applyFill="1" applyBorder="1" applyAlignment="1" applyProtection="1">
      <alignment horizontal="center" vertical="center"/>
    </xf>
    <xf numFmtId="186" fontId="5" fillId="4" borderId="4" xfId="0" applyNumberFormat="1" applyFont="1" applyFill="1" applyBorder="1" applyAlignment="1" applyProtection="1">
      <alignment horizontal="center" vertical="center"/>
    </xf>
    <xf numFmtId="186" fontId="5" fillId="4" borderId="7" xfId="0" applyNumberFormat="1" applyFont="1" applyFill="1" applyBorder="1" applyAlignment="1" applyProtection="1">
      <alignment horizontal="center" vertical="center"/>
    </xf>
    <xf numFmtId="186" fontId="5" fillId="4" borderId="12" xfId="0" applyNumberFormat="1" applyFont="1" applyFill="1" applyBorder="1" applyAlignment="1" applyProtection="1">
      <alignment horizontal="center" vertical="center"/>
    </xf>
    <xf numFmtId="186" fontId="5" fillId="3" borderId="1" xfId="0" applyNumberFormat="1" applyFont="1" applyFill="1" applyBorder="1" applyAlignment="1" applyProtection="1">
      <alignment horizontal="center" vertical="center"/>
    </xf>
    <xf numFmtId="186" fontId="5" fillId="3" borderId="5" xfId="0" applyNumberFormat="1" applyFont="1" applyFill="1" applyBorder="1" applyAlignment="1" applyProtection="1">
      <alignment horizontal="center" vertical="center"/>
    </xf>
    <xf numFmtId="186" fontId="5" fillId="3" borderId="9" xfId="0" applyNumberFormat="1" applyFont="1" applyFill="1" applyBorder="1" applyAlignment="1" applyProtection="1">
      <alignment horizontal="center" vertical="center"/>
    </xf>
    <xf numFmtId="186" fontId="6" fillId="4" borderId="5" xfId="0" applyNumberFormat="1" applyFont="1" applyFill="1" applyBorder="1" applyAlignment="1" applyProtection="1">
      <alignment horizontal="center" vertical="center"/>
    </xf>
    <xf numFmtId="192" fontId="5" fillId="0" borderId="0" xfId="0" applyNumberFormat="1" applyFont="1" applyBorder="1" applyAlignment="1" applyProtection="1">
      <alignment horizontal="right" vertical="center" wrapText="1"/>
    </xf>
    <xf numFmtId="191" fontId="5" fillId="0" borderId="73" xfId="0" applyNumberFormat="1" applyFont="1" applyBorder="1" applyAlignment="1">
      <alignment horizontal="center" vertical="center"/>
    </xf>
    <xf numFmtId="191" fontId="5" fillId="0" borderId="75" xfId="0" applyNumberFormat="1" applyFont="1" applyBorder="1" applyAlignment="1">
      <alignment horizontal="center" vertical="center"/>
    </xf>
    <xf numFmtId="191" fontId="5" fillId="0" borderId="76" xfId="0" applyNumberFormat="1" applyFont="1" applyBorder="1" applyAlignment="1">
      <alignment horizontal="center" vertical="center"/>
    </xf>
    <xf numFmtId="2" fontId="5" fillId="0" borderId="24" xfId="0" applyNumberFormat="1" applyFont="1" applyBorder="1" applyAlignment="1">
      <alignment horizontal="center" vertical="center"/>
    </xf>
    <xf numFmtId="2" fontId="5" fillId="0" borderId="67" xfId="0" applyNumberFormat="1" applyFont="1" applyBorder="1" applyAlignment="1">
      <alignment horizontal="center" vertical="center"/>
    </xf>
    <xf numFmtId="2" fontId="5" fillId="0" borderId="26" xfId="0" applyNumberFormat="1" applyFont="1" applyBorder="1" applyAlignment="1">
      <alignment horizontal="center" vertical="center"/>
    </xf>
    <xf numFmtId="2" fontId="5" fillId="0" borderId="1" xfId="0" applyNumberFormat="1" applyFont="1" applyBorder="1" applyAlignment="1">
      <alignment horizontal="center" vertical="center"/>
    </xf>
    <xf numFmtId="2" fontId="5" fillId="0" borderId="5" xfId="0" applyNumberFormat="1" applyFont="1" applyBorder="1" applyAlignment="1">
      <alignment horizontal="center" vertical="center"/>
    </xf>
    <xf numFmtId="2" fontId="5" fillId="0" borderId="27" xfId="0" applyNumberFormat="1" applyFont="1" applyBorder="1" applyAlignment="1">
      <alignment horizontal="center" vertical="center"/>
    </xf>
    <xf numFmtId="2" fontId="5" fillId="0" borderId="25" xfId="0" applyNumberFormat="1" applyFont="1" applyBorder="1" applyAlignment="1">
      <alignment horizontal="center" vertical="center"/>
    </xf>
    <xf numFmtId="2" fontId="5" fillId="0" borderId="72" xfId="0" applyNumberFormat="1" applyFont="1" applyBorder="1" applyAlignment="1">
      <alignment horizontal="center" vertical="center"/>
    </xf>
    <xf numFmtId="2" fontId="5" fillId="0" borderId="28" xfId="0" applyNumberFormat="1" applyFont="1" applyBorder="1" applyAlignment="1">
      <alignment horizontal="center" vertical="center"/>
    </xf>
    <xf numFmtId="0" fontId="6" fillId="0" borderId="16" xfId="0" applyFont="1" applyBorder="1" applyAlignment="1">
      <alignment horizontal="center" vertical="center"/>
    </xf>
    <xf numFmtId="0" fontId="6" fillId="0" borderId="72" xfId="0" applyFont="1" applyBorder="1" applyAlignment="1">
      <alignment horizontal="center" vertical="center"/>
    </xf>
    <xf numFmtId="0" fontId="6" fillId="0" borderId="30" xfId="0" applyFont="1" applyBorder="1" applyAlignment="1">
      <alignment horizontal="center" vertical="center"/>
    </xf>
    <xf numFmtId="181" fontId="5" fillId="0" borderId="25" xfId="0" applyNumberFormat="1" applyFont="1" applyBorder="1" applyAlignment="1">
      <alignment horizontal="right" vertical="center"/>
    </xf>
    <xf numFmtId="181" fontId="5" fillId="0" borderId="30" xfId="0" applyNumberFormat="1" applyFont="1" applyBorder="1" applyAlignment="1">
      <alignment horizontal="right" vertical="center"/>
    </xf>
    <xf numFmtId="0" fontId="6" fillId="0" borderId="69" xfId="0" applyFont="1" applyBorder="1" applyAlignment="1">
      <alignment horizontal="left" vertical="center"/>
    </xf>
    <xf numFmtId="0" fontId="6" fillId="0" borderId="17" xfId="0" applyFont="1" applyBorder="1" applyAlignment="1">
      <alignment horizontal="left" vertical="center"/>
    </xf>
    <xf numFmtId="0" fontId="6" fillId="0" borderId="80" xfId="0" applyFont="1" applyBorder="1" applyAlignment="1">
      <alignment horizontal="left" vertical="center"/>
    </xf>
    <xf numFmtId="195" fontId="6" fillId="4" borderId="71" xfId="0" applyNumberFormat="1" applyFont="1" applyFill="1" applyBorder="1" applyAlignment="1">
      <alignment horizontal="center" vertical="center"/>
    </xf>
    <xf numFmtId="195" fontId="6" fillId="4" borderId="6" xfId="0" applyNumberFormat="1" applyFont="1" applyFill="1" applyBorder="1" applyAlignment="1">
      <alignment horizontal="center" vertical="center"/>
    </xf>
    <xf numFmtId="195" fontId="6" fillId="4" borderId="10" xfId="0" applyNumberFormat="1" applyFont="1" applyFill="1" applyBorder="1" applyAlignment="1">
      <alignment horizontal="center" vertical="center"/>
    </xf>
    <xf numFmtId="181" fontId="5" fillId="4" borderId="1" xfId="0" applyNumberFormat="1" applyFont="1" applyFill="1" applyBorder="1" applyAlignment="1">
      <alignment horizontal="right" vertical="center"/>
    </xf>
    <xf numFmtId="181" fontId="5" fillId="4" borderId="9" xfId="0" applyNumberFormat="1" applyFont="1" applyFill="1" applyBorder="1" applyAlignment="1">
      <alignment horizontal="right" vertical="center"/>
    </xf>
    <xf numFmtId="0" fontId="14" fillId="0" borderId="3" xfId="0" applyFont="1" applyBorder="1" applyAlignment="1">
      <alignment horizontal="center" vertical="top" wrapText="1"/>
    </xf>
    <xf numFmtId="0" fontId="14" fillId="0" borderId="11" xfId="0" applyFont="1" applyBorder="1" applyAlignment="1">
      <alignment horizontal="center" vertical="top" wrapText="1"/>
    </xf>
    <xf numFmtId="2" fontId="5" fillId="0" borderId="3" xfId="0" applyNumberFormat="1" applyFont="1" applyBorder="1" applyAlignment="1">
      <alignment horizontal="center" vertical="center"/>
    </xf>
    <xf numFmtId="2" fontId="5" fillId="0" borderId="0" xfId="0" applyNumberFormat="1" applyFont="1" applyAlignment="1">
      <alignment horizontal="center" vertical="center"/>
    </xf>
    <xf numFmtId="2" fontId="5" fillId="0" borderId="8" xfId="0" applyNumberFormat="1" applyFont="1" applyBorder="1" applyAlignment="1">
      <alignment horizontal="center" vertical="center"/>
    </xf>
    <xf numFmtId="178" fontId="6" fillId="4" borderId="71" xfId="0" applyNumberFormat="1" applyFont="1" applyFill="1" applyBorder="1" applyAlignment="1">
      <alignment horizontal="center" vertical="center"/>
    </xf>
    <xf numFmtId="178" fontId="6" fillId="4" borderId="6" xfId="0" applyNumberFormat="1" applyFont="1" applyFill="1" applyBorder="1" applyAlignment="1">
      <alignment horizontal="center" vertical="center"/>
    </xf>
    <xf numFmtId="178" fontId="6" fillId="4" borderId="10" xfId="0" applyNumberFormat="1" applyFont="1" applyFill="1" applyBorder="1" applyAlignment="1">
      <alignment horizontal="center" vertical="center"/>
    </xf>
    <xf numFmtId="178" fontId="6" fillId="4" borderId="79" xfId="0" applyNumberFormat="1" applyFont="1" applyFill="1" applyBorder="1" applyAlignment="1">
      <alignment horizontal="center" vertical="center"/>
    </xf>
    <xf numFmtId="178" fontId="6" fillId="4" borderId="17" xfId="0" applyNumberFormat="1" applyFont="1" applyFill="1" applyBorder="1" applyAlignment="1">
      <alignment horizontal="center" vertical="center"/>
    </xf>
    <xf numFmtId="178" fontId="6" fillId="4" borderId="70" xfId="0" applyNumberFormat="1" applyFont="1" applyFill="1" applyBorder="1" applyAlignment="1">
      <alignment horizontal="center" vertical="center"/>
    </xf>
    <xf numFmtId="181" fontId="5" fillId="4" borderId="24" xfId="0" applyNumberFormat="1" applyFont="1" applyFill="1" applyBorder="1" applyAlignment="1">
      <alignment horizontal="right" vertical="center"/>
    </xf>
    <xf numFmtId="181" fontId="5" fillId="4" borderId="68" xfId="0" applyNumberFormat="1" applyFont="1" applyFill="1" applyBorder="1" applyAlignment="1">
      <alignment horizontal="right" vertical="center"/>
    </xf>
    <xf numFmtId="0" fontId="6" fillId="0" borderId="69" xfId="0" applyFont="1" applyBorder="1" applyAlignment="1">
      <alignment horizontal="center" wrapText="1"/>
    </xf>
    <xf numFmtId="0" fontId="6" fillId="0" borderId="70" xfId="0" applyFont="1" applyBorder="1" applyAlignment="1">
      <alignment horizontal="center" wrapText="1"/>
    </xf>
    <xf numFmtId="0" fontId="14" fillId="0" borderId="21" xfId="0" applyFont="1" applyBorder="1" applyAlignment="1">
      <alignment horizontal="center" vertical="center" wrapText="1"/>
    </xf>
    <xf numFmtId="0" fontId="14" fillId="0" borderId="77" xfId="0" applyFont="1" applyBorder="1" applyAlignment="1">
      <alignment horizontal="center" vertical="center" wrapText="1"/>
    </xf>
    <xf numFmtId="0" fontId="14" fillId="0" borderId="23"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77" xfId="0" applyFont="1" applyBorder="1" applyAlignment="1">
      <alignment horizontal="center" vertical="center" wrapText="1"/>
    </xf>
    <xf numFmtId="0" fontId="6" fillId="0" borderId="77" xfId="0" applyFont="1" applyBorder="1" applyAlignment="1">
      <alignment horizontal="center" vertical="center"/>
    </xf>
    <xf numFmtId="0" fontId="6" fillId="0" borderId="22" xfId="0" applyFont="1" applyBorder="1" applyAlignment="1">
      <alignment horizontal="center" vertical="center"/>
    </xf>
    <xf numFmtId="0" fontId="6" fillId="4" borderId="0" xfId="0" applyFont="1" applyFill="1" applyAlignment="1" applyProtection="1">
      <alignment horizontal="center" vertical="center" shrinkToFit="1"/>
      <protection locked="0"/>
    </xf>
    <xf numFmtId="0" fontId="14" fillId="0" borderId="2"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10"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3" xfId="0" applyFont="1" applyBorder="1" applyAlignment="1">
      <alignment horizontal="center" vertical="center"/>
    </xf>
    <xf numFmtId="0" fontId="3" fillId="0" borderId="25" xfId="0" applyFont="1" applyBorder="1" applyAlignment="1">
      <alignment horizontal="center" vertical="center"/>
    </xf>
    <xf numFmtId="0" fontId="3" fillId="0" borderId="72" xfId="0" applyFont="1" applyBorder="1" applyAlignment="1">
      <alignment horizontal="center" vertical="center"/>
    </xf>
    <xf numFmtId="0" fontId="3" fillId="0" borderId="30" xfId="0" applyFont="1" applyBorder="1" applyAlignment="1">
      <alignment horizontal="center" vertical="center"/>
    </xf>
    <xf numFmtId="0" fontId="6" fillId="0" borderId="0" xfId="0" applyFont="1" applyAlignment="1">
      <alignment horizontal="left" vertical="center" wrapText="1"/>
    </xf>
    <xf numFmtId="178" fontId="5" fillId="4" borderId="1" xfId="0" applyNumberFormat="1" applyFont="1" applyFill="1" applyBorder="1" applyAlignment="1">
      <alignment horizontal="center" vertical="center"/>
    </xf>
    <xf numFmtId="178" fontId="5" fillId="4" borderId="5" xfId="0" applyNumberFormat="1" applyFont="1" applyFill="1" applyBorder="1" applyAlignment="1">
      <alignment horizontal="center" vertical="center"/>
    </xf>
    <xf numFmtId="178" fontId="5" fillId="4" borderId="9" xfId="0" applyNumberFormat="1" applyFont="1" applyFill="1" applyBorder="1" applyAlignment="1">
      <alignment horizontal="center" vertical="center"/>
    </xf>
    <xf numFmtId="187" fontId="5" fillId="0" borderId="1" xfId="0" applyNumberFormat="1" applyFont="1" applyBorder="1" applyAlignment="1">
      <alignment horizontal="right" vertical="center"/>
    </xf>
    <xf numFmtId="187" fontId="5" fillId="0" borderId="5" xfId="0" applyNumberFormat="1" applyFont="1" applyBorder="1" applyAlignment="1">
      <alignment horizontal="right" vertical="center"/>
    </xf>
    <xf numFmtId="187" fontId="5" fillId="0" borderId="9" xfId="0" applyNumberFormat="1" applyFont="1" applyBorder="1" applyAlignment="1">
      <alignment horizontal="right" vertical="center"/>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 xfId="0" applyFont="1" applyBorder="1" applyAlignment="1">
      <alignment horizontal="center" vertical="center"/>
    </xf>
    <xf numFmtId="0" fontId="6" fillId="0" borderId="5" xfId="0" applyFont="1" applyBorder="1" applyAlignment="1">
      <alignment horizontal="center" vertical="center"/>
    </xf>
    <xf numFmtId="0" fontId="6" fillId="0" borderId="9" xfId="0" applyFont="1" applyBorder="1" applyAlignment="1">
      <alignment horizontal="center" vertical="center"/>
    </xf>
    <xf numFmtId="178" fontId="6" fillId="0" borderId="1" xfId="0" applyNumberFormat="1" applyFont="1" applyBorder="1" applyAlignment="1">
      <alignment horizontal="center" vertical="center"/>
    </xf>
    <xf numFmtId="178" fontId="6" fillId="0" borderId="5" xfId="0" applyNumberFormat="1" applyFont="1" applyBorder="1" applyAlignment="1">
      <alignment horizontal="center" vertical="center"/>
    </xf>
    <xf numFmtId="178" fontId="6" fillId="0" borderId="9" xfId="0" applyNumberFormat="1" applyFont="1" applyBorder="1" applyAlignment="1">
      <alignment horizontal="center" vertical="center"/>
    </xf>
    <xf numFmtId="201" fontId="5" fillId="0" borderId="1" xfId="0" applyNumberFormat="1" applyFont="1" applyBorder="1" applyAlignment="1">
      <alignment horizontal="right" vertical="center"/>
    </xf>
    <xf numFmtId="201" fontId="5" fillId="0" borderId="5" xfId="0" applyNumberFormat="1" applyFont="1" applyBorder="1" applyAlignment="1">
      <alignment horizontal="right" vertical="center"/>
    </xf>
    <xf numFmtId="201" fontId="5" fillId="0" borderId="9" xfId="0" applyNumberFormat="1" applyFont="1" applyBorder="1" applyAlignment="1">
      <alignment horizontal="right" vertical="center"/>
    </xf>
    <xf numFmtId="201" fontId="5" fillId="0" borderId="51" xfId="0" applyNumberFormat="1" applyFont="1" applyBorder="1" applyAlignment="1">
      <alignment horizontal="right" vertical="center"/>
    </xf>
    <xf numFmtId="188" fontId="5" fillId="0" borderId="61" xfId="0" applyNumberFormat="1" applyFont="1" applyBorder="1" applyAlignment="1">
      <alignment horizontal="right" vertical="center"/>
    </xf>
    <xf numFmtId="188" fontId="5" fillId="0" borderId="62" xfId="0" applyNumberFormat="1" applyFont="1" applyBorder="1" applyAlignment="1">
      <alignment horizontal="right" vertical="center"/>
    </xf>
    <xf numFmtId="178" fontId="5" fillId="3" borderId="1" xfId="0" applyNumberFormat="1" applyFont="1" applyFill="1" applyBorder="1" applyAlignment="1">
      <alignment horizontal="center" vertical="center"/>
    </xf>
    <xf numFmtId="178" fontId="5" fillId="3" borderId="5" xfId="0" applyNumberFormat="1" applyFont="1" applyFill="1" applyBorder="1" applyAlignment="1">
      <alignment horizontal="center" vertical="center"/>
    </xf>
    <xf numFmtId="178" fontId="5" fillId="3" borderId="9" xfId="0" applyNumberFormat="1" applyFont="1" applyFill="1" applyBorder="1" applyAlignment="1">
      <alignment horizontal="center" vertical="center"/>
    </xf>
    <xf numFmtId="187" fontId="5" fillId="0" borderId="2" xfId="0" applyNumberFormat="1" applyFont="1" applyBorder="1" applyAlignment="1">
      <alignment horizontal="right" vertical="center"/>
    </xf>
    <xf numFmtId="187" fontId="5" fillId="0" borderId="6" xfId="0" applyNumberFormat="1" applyFont="1" applyBorder="1" applyAlignment="1">
      <alignment horizontal="right" vertical="center"/>
    </xf>
    <xf numFmtId="0" fontId="6" fillId="0" borderId="42" xfId="0" applyFont="1" applyBorder="1" applyAlignment="1">
      <alignment horizontal="center" vertical="center" wrapText="1"/>
    </xf>
    <xf numFmtId="0" fontId="6" fillId="0" borderId="44" xfId="0" applyFont="1" applyBorder="1" applyAlignment="1">
      <alignment horizontal="center" vertical="center"/>
    </xf>
    <xf numFmtId="0" fontId="8" fillId="0" borderId="1" xfId="0" applyFont="1" applyBorder="1" applyAlignment="1">
      <alignment horizontal="left" vertical="center"/>
    </xf>
    <xf numFmtId="0" fontId="8" fillId="0" borderId="5" xfId="0" applyFont="1" applyBorder="1" applyAlignment="1">
      <alignment horizontal="left" vertical="center"/>
    </xf>
    <xf numFmtId="0" fontId="8" fillId="0" borderId="9" xfId="0" applyFont="1" applyBorder="1" applyAlignment="1">
      <alignment horizontal="left" vertical="center"/>
    </xf>
    <xf numFmtId="0" fontId="8" fillId="0" borderId="2" xfId="0" applyFont="1" applyBorder="1" applyAlignment="1">
      <alignment vertical="center" wrapText="1"/>
    </xf>
    <xf numFmtId="0" fontId="8" fillId="0" borderId="6" xfId="0" applyFont="1" applyBorder="1">
      <alignment vertical="center"/>
    </xf>
    <xf numFmtId="0" fontId="8" fillId="0" borderId="10" xfId="0" applyFont="1" applyBorder="1">
      <alignment vertical="center"/>
    </xf>
    <xf numFmtId="0" fontId="8" fillId="0" borderId="3" xfId="0" applyFont="1" applyBorder="1" applyAlignment="1">
      <alignment vertical="center" wrapText="1"/>
    </xf>
    <xf numFmtId="0" fontId="8" fillId="0" borderId="0" xfId="0" applyFont="1">
      <alignment vertical="center"/>
    </xf>
    <xf numFmtId="0" fontId="8" fillId="0" borderId="11" xfId="0" applyFont="1" applyBorder="1">
      <alignment vertical="center"/>
    </xf>
    <xf numFmtId="0" fontId="8" fillId="0" borderId="4" xfId="0" applyFont="1" applyBorder="1" applyAlignment="1">
      <alignment vertical="center" wrapText="1"/>
    </xf>
    <xf numFmtId="0" fontId="8" fillId="0" borderId="7" xfId="0" applyFont="1" applyBorder="1">
      <alignment vertical="center"/>
    </xf>
    <xf numFmtId="0" fontId="8" fillId="0" borderId="12" xfId="0" applyFont="1" applyBorder="1">
      <alignment vertical="center"/>
    </xf>
    <xf numFmtId="191" fontId="5" fillId="0" borderId="2" xfId="0" applyNumberFormat="1" applyFont="1" applyBorder="1" applyAlignment="1">
      <alignment horizontal="right" vertical="center"/>
    </xf>
    <xf numFmtId="191" fontId="5" fillId="0" borderId="6" xfId="0" applyNumberFormat="1" applyFont="1" applyBorder="1" applyAlignment="1">
      <alignment horizontal="right" vertical="center"/>
    </xf>
    <xf numFmtId="191" fontId="5" fillId="0" borderId="10" xfId="0" applyNumberFormat="1" applyFont="1" applyBorder="1" applyAlignment="1">
      <alignment horizontal="right" vertical="center"/>
    </xf>
    <xf numFmtId="191" fontId="5" fillId="0" borderId="3" xfId="0" applyNumberFormat="1" applyFont="1" applyBorder="1" applyAlignment="1">
      <alignment horizontal="right" vertical="center"/>
    </xf>
    <xf numFmtId="191" fontId="5" fillId="0" borderId="0" xfId="0" applyNumberFormat="1" applyFont="1" applyAlignment="1">
      <alignment horizontal="right" vertical="center"/>
    </xf>
    <xf numFmtId="191" fontId="5" fillId="0" borderId="11" xfId="0" applyNumberFormat="1" applyFont="1" applyBorder="1" applyAlignment="1">
      <alignment horizontal="right" vertical="center"/>
    </xf>
    <xf numFmtId="191" fontId="5" fillId="0" borderId="4" xfId="0" applyNumberFormat="1" applyFont="1" applyBorder="1" applyAlignment="1">
      <alignment horizontal="right" vertical="center"/>
    </xf>
    <xf numFmtId="191" fontId="5" fillId="0" borderId="7" xfId="0" applyNumberFormat="1" applyFont="1" applyBorder="1" applyAlignment="1">
      <alignment horizontal="right" vertical="center"/>
    </xf>
    <xf numFmtId="191" fontId="5" fillId="0" borderId="12" xfId="0" applyNumberFormat="1" applyFont="1" applyBorder="1" applyAlignment="1">
      <alignment horizontal="right" vertical="center"/>
    </xf>
    <xf numFmtId="178" fontId="6" fillId="4" borderId="1" xfId="0" applyNumberFormat="1" applyFont="1" applyFill="1" applyBorder="1" applyAlignment="1">
      <alignment horizontal="center" vertical="center"/>
    </xf>
    <xf numFmtId="178" fontId="6" fillId="4" borderId="5" xfId="0" applyNumberFormat="1" applyFont="1" applyFill="1" applyBorder="1" applyAlignment="1">
      <alignment horizontal="center" vertical="center"/>
    </xf>
    <xf numFmtId="178" fontId="6" fillId="4" borderId="9" xfId="0" applyNumberFormat="1" applyFont="1" applyFill="1" applyBorder="1" applyAlignment="1">
      <alignment horizontal="center" vertical="center"/>
    </xf>
    <xf numFmtId="0" fontId="14" fillId="0" borderId="3"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2" xfId="0" applyFont="1" applyBorder="1" applyAlignment="1">
      <alignment horizontal="center" vertical="center" wrapText="1"/>
    </xf>
    <xf numFmtId="181" fontId="5" fillId="4" borderId="4" xfId="0" applyNumberFormat="1" applyFont="1" applyFill="1" applyBorder="1" applyAlignment="1">
      <alignment horizontal="right" vertical="center"/>
    </xf>
    <xf numFmtId="181" fontId="5" fillId="4" borderId="12" xfId="0" applyNumberFormat="1" applyFont="1" applyFill="1" applyBorder="1" applyAlignment="1">
      <alignment horizontal="right"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0" borderId="9" xfId="0" applyFont="1" applyBorder="1" applyAlignment="1">
      <alignment horizontal="center" vertical="center"/>
    </xf>
    <xf numFmtId="176" fontId="6" fillId="0" borderId="2" xfId="0" applyNumberFormat="1" applyFont="1" applyBorder="1" applyAlignment="1">
      <alignment horizontal="center" vertical="center" wrapText="1"/>
    </xf>
    <xf numFmtId="176" fontId="6" fillId="0" borderId="10" xfId="0" applyNumberFormat="1" applyFont="1" applyBorder="1" applyAlignment="1">
      <alignment horizontal="center" vertical="center"/>
    </xf>
    <xf numFmtId="191" fontId="5" fillId="0" borderId="45" xfId="0" applyNumberFormat="1" applyFont="1" applyBorder="1" applyAlignment="1">
      <alignment horizontal="right" vertical="center"/>
    </xf>
    <xf numFmtId="191" fontId="5" fillId="0" borderId="46" xfId="0" applyNumberFormat="1" applyFont="1" applyBorder="1" applyAlignment="1">
      <alignment horizontal="right" vertical="center"/>
    </xf>
    <xf numFmtId="191" fontId="5" fillId="0" borderId="59" xfId="0" applyNumberFormat="1" applyFont="1" applyBorder="1" applyAlignment="1">
      <alignment horizontal="right" vertical="center"/>
    </xf>
    <xf numFmtId="191" fontId="5" fillId="0" borderId="60" xfId="0" applyNumberFormat="1" applyFont="1" applyBorder="1" applyAlignment="1">
      <alignment horizontal="right" vertical="center"/>
    </xf>
    <xf numFmtId="191" fontId="5" fillId="0" borderId="47" xfId="0" applyNumberFormat="1" applyFont="1" applyBorder="1" applyAlignment="1">
      <alignment horizontal="right" vertical="center"/>
    </xf>
    <xf numFmtId="191" fontId="5" fillId="0" borderId="48" xfId="0" applyNumberFormat="1" applyFont="1" applyBorder="1" applyAlignment="1">
      <alignment horizontal="right" vertical="center"/>
    </xf>
    <xf numFmtId="191" fontId="5" fillId="0" borderId="49" xfId="0" applyNumberFormat="1" applyFont="1" applyBorder="1" applyAlignment="1">
      <alignment horizontal="right" vertical="center"/>
    </xf>
    <xf numFmtId="0" fontId="6" fillId="0" borderId="43" xfId="0" applyFont="1" applyBorder="1" applyAlignment="1">
      <alignment horizontal="center" vertical="center"/>
    </xf>
    <xf numFmtId="199" fontId="5" fillId="0" borderId="1" xfId="0" applyNumberFormat="1" applyFont="1" applyBorder="1" applyAlignment="1" applyProtection="1">
      <alignment horizontal="right" vertical="center"/>
      <protection locked="0"/>
    </xf>
    <xf numFmtId="199" fontId="5" fillId="0" borderId="5" xfId="0" applyNumberFormat="1" applyFont="1" applyBorder="1" applyAlignment="1" applyProtection="1">
      <alignment horizontal="right" vertical="center"/>
      <protection locked="0"/>
    </xf>
    <xf numFmtId="199" fontId="5" fillId="0" borderId="9" xfId="0" applyNumberFormat="1" applyFont="1" applyBorder="1" applyAlignment="1" applyProtection="1">
      <alignment horizontal="right" vertical="center"/>
      <protection locked="0"/>
    </xf>
    <xf numFmtId="0" fontId="10" fillId="0" borderId="1" xfId="0" applyFont="1" applyBorder="1" applyAlignment="1">
      <alignment horizontal="center" vertical="center"/>
    </xf>
    <xf numFmtId="0" fontId="10" fillId="0" borderId="5" xfId="0" applyFont="1" applyBorder="1" applyAlignment="1">
      <alignment horizontal="center" vertical="center"/>
    </xf>
    <xf numFmtId="0" fontId="10" fillId="0" borderId="9" xfId="0" applyFont="1" applyBorder="1" applyAlignment="1">
      <alignment horizontal="center" vertical="center"/>
    </xf>
    <xf numFmtId="0" fontId="6" fillId="0" borderId="43" xfId="0" applyFont="1" applyBorder="1" applyAlignment="1">
      <alignment horizontal="center" vertical="center" wrapText="1"/>
    </xf>
    <xf numFmtId="0" fontId="6" fillId="0" borderId="44" xfId="0" applyFont="1" applyBorder="1" applyAlignment="1">
      <alignment horizontal="center" vertical="center" wrapText="1"/>
    </xf>
    <xf numFmtId="178" fontId="5" fillId="3" borderId="2" xfId="0" applyNumberFormat="1" applyFont="1" applyFill="1" applyBorder="1" applyAlignment="1">
      <alignment horizontal="center" vertical="center"/>
    </xf>
    <xf numFmtId="178" fontId="5" fillId="3" borderId="6" xfId="0" applyNumberFormat="1" applyFont="1" applyFill="1" applyBorder="1" applyAlignment="1">
      <alignment horizontal="center" vertical="center"/>
    </xf>
    <xf numFmtId="178" fontId="5" fillId="3" borderId="10" xfId="0" applyNumberFormat="1" applyFont="1" applyFill="1" applyBorder="1" applyAlignment="1">
      <alignment horizontal="center" vertical="center"/>
    </xf>
    <xf numFmtId="178" fontId="5" fillId="3" borderId="4" xfId="0" applyNumberFormat="1" applyFont="1" applyFill="1" applyBorder="1" applyAlignment="1">
      <alignment horizontal="center" vertical="center"/>
    </xf>
    <xf numFmtId="178" fontId="5" fillId="3" borderId="7" xfId="0" applyNumberFormat="1" applyFont="1" applyFill="1" applyBorder="1" applyAlignment="1">
      <alignment horizontal="center" vertical="center"/>
    </xf>
    <xf numFmtId="178" fontId="5" fillId="3" borderId="12" xfId="0" applyNumberFormat="1" applyFont="1" applyFill="1" applyBorder="1" applyAlignment="1">
      <alignment horizontal="center" vertical="center"/>
    </xf>
    <xf numFmtId="199" fontId="5" fillId="0" borderId="2" xfId="0" applyNumberFormat="1" applyFont="1" applyBorder="1" applyAlignment="1">
      <alignment horizontal="right" vertical="center"/>
    </xf>
    <xf numFmtId="199" fontId="5" fillId="0" borderId="6" xfId="0" applyNumberFormat="1" applyFont="1" applyBorder="1" applyAlignment="1">
      <alignment horizontal="right" vertical="center"/>
    </xf>
    <xf numFmtId="199" fontId="5" fillId="0" borderId="46" xfId="0" applyNumberFormat="1" applyFont="1" applyBorder="1" applyAlignment="1">
      <alignment horizontal="right" vertical="center"/>
    </xf>
    <xf numFmtId="199" fontId="5" fillId="0" borderId="4" xfId="0" applyNumberFormat="1" applyFont="1" applyBorder="1" applyAlignment="1">
      <alignment horizontal="right" vertical="center"/>
    </xf>
    <xf numFmtId="199" fontId="5" fillId="0" borderId="7" xfId="0" applyNumberFormat="1" applyFont="1" applyBorder="1" applyAlignment="1">
      <alignment horizontal="right" vertical="center"/>
    </xf>
    <xf numFmtId="199" fontId="5" fillId="0" borderId="58" xfId="0" applyNumberFormat="1" applyFont="1" applyBorder="1" applyAlignment="1">
      <alignment horizontal="right" vertical="center"/>
    </xf>
    <xf numFmtId="0" fontId="6" fillId="3" borderId="50" xfId="0" applyFont="1" applyFill="1" applyBorder="1" applyAlignment="1">
      <alignment horizontal="center" vertical="center" shrinkToFit="1"/>
    </xf>
    <xf numFmtId="0" fontId="6" fillId="3" borderId="5" xfId="0" applyFont="1" applyFill="1" applyBorder="1" applyAlignment="1">
      <alignment horizontal="center" vertical="center" shrinkToFit="1"/>
    </xf>
    <xf numFmtId="0" fontId="6" fillId="3" borderId="51" xfId="0" applyFont="1" applyFill="1" applyBorder="1" applyAlignment="1">
      <alignment horizontal="center" vertical="center" shrinkToFit="1"/>
    </xf>
    <xf numFmtId="198" fontId="5" fillId="0" borderId="1" xfId="0" applyNumberFormat="1" applyFont="1" applyBorder="1" applyAlignment="1">
      <alignment horizontal="right" vertical="center"/>
    </xf>
    <xf numFmtId="198" fontId="5" fillId="0" borderId="5" xfId="0" applyNumberFormat="1" applyFont="1" applyBorder="1" applyAlignment="1">
      <alignment horizontal="right" vertical="center"/>
    </xf>
    <xf numFmtId="198" fontId="5" fillId="0" borderId="9" xfId="0" applyNumberFormat="1" applyFont="1" applyBorder="1" applyAlignment="1">
      <alignment horizontal="right" vertical="center"/>
    </xf>
    <xf numFmtId="0" fontId="8" fillId="0" borderId="0" xfId="0" applyFont="1" applyAlignment="1">
      <alignment vertical="center" wrapText="1"/>
    </xf>
    <xf numFmtId="0" fontId="8" fillId="0" borderId="11" xfId="0" applyFont="1" applyBorder="1" applyAlignment="1">
      <alignment vertical="center" wrapText="1"/>
    </xf>
    <xf numFmtId="0" fontId="8" fillId="0" borderId="7" xfId="0" applyFont="1" applyBorder="1" applyAlignment="1">
      <alignment vertical="center" wrapText="1"/>
    </xf>
    <xf numFmtId="0" fontId="8" fillId="0" borderId="12" xfId="0" applyFont="1" applyBorder="1" applyAlignment="1">
      <alignment vertical="center" wrapText="1"/>
    </xf>
    <xf numFmtId="0" fontId="6" fillId="4" borderId="2" xfId="0" applyFont="1" applyFill="1" applyBorder="1" applyAlignment="1">
      <alignment horizontal="center" vertical="center" shrinkToFit="1"/>
    </xf>
    <xf numFmtId="0" fontId="6" fillId="4" borderId="6" xfId="0" applyFont="1" applyFill="1" applyBorder="1" applyAlignment="1">
      <alignment horizontal="center" vertical="center" shrinkToFit="1"/>
    </xf>
    <xf numFmtId="0" fontId="6" fillId="4" borderId="10" xfId="0" applyFont="1" applyFill="1" applyBorder="1" applyAlignment="1">
      <alignment horizontal="center" vertical="center" shrinkToFit="1"/>
    </xf>
    <xf numFmtId="0" fontId="5" fillId="0" borderId="4" xfId="0" applyFont="1" applyBorder="1" applyAlignment="1">
      <alignment horizontal="center" vertical="top"/>
    </xf>
    <xf numFmtId="0" fontId="5" fillId="0" borderId="12" xfId="0" applyFont="1" applyBorder="1" applyAlignment="1">
      <alignment horizontal="center" vertical="top"/>
    </xf>
    <xf numFmtId="0" fontId="6" fillId="0" borderId="1"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9" xfId="0" applyFont="1" applyBorder="1" applyAlignment="1">
      <alignment horizontal="center" vertical="center" shrinkToFit="1"/>
    </xf>
    <xf numFmtId="196" fontId="5" fillId="0" borderId="1" xfId="0" applyNumberFormat="1" applyFont="1" applyBorder="1" applyAlignment="1">
      <alignment horizontal="right" vertical="center"/>
    </xf>
    <xf numFmtId="196" fontId="5" fillId="0" borderId="5" xfId="0" applyNumberFormat="1" applyFont="1" applyBorder="1" applyAlignment="1">
      <alignment horizontal="right" vertical="center"/>
    </xf>
    <xf numFmtId="196" fontId="5" fillId="0" borderId="9" xfId="0" applyNumberFormat="1" applyFont="1" applyBorder="1" applyAlignment="1">
      <alignment horizontal="right" vertical="center"/>
    </xf>
    <xf numFmtId="0" fontId="5" fillId="0" borderId="3" xfId="0" applyFont="1" applyBorder="1" applyAlignment="1">
      <alignment horizontal="center" vertical="center"/>
    </xf>
    <xf numFmtId="0" fontId="5" fillId="0" borderId="11" xfId="0" applyFont="1" applyBorder="1" applyAlignment="1">
      <alignment horizontal="center" vertical="center"/>
    </xf>
    <xf numFmtId="178" fontId="5" fillId="4" borderId="2" xfId="0" applyNumberFormat="1" applyFont="1" applyFill="1" applyBorder="1" applyAlignment="1">
      <alignment horizontal="center" vertical="center"/>
    </xf>
    <xf numFmtId="178" fontId="5" fillId="4" borderId="6" xfId="0" applyNumberFormat="1" applyFont="1" applyFill="1" applyBorder="1" applyAlignment="1">
      <alignment horizontal="center" vertical="center"/>
    </xf>
    <xf numFmtId="178" fontId="5" fillId="4" borderId="10" xfId="0" applyNumberFormat="1" applyFont="1" applyFill="1" applyBorder="1" applyAlignment="1">
      <alignment horizontal="center" vertical="center"/>
    </xf>
    <xf numFmtId="178" fontId="5" fillId="4" borderId="3" xfId="0" applyNumberFormat="1" applyFont="1" applyFill="1" applyBorder="1" applyAlignment="1">
      <alignment horizontal="center" vertical="center"/>
    </xf>
    <xf numFmtId="178" fontId="5" fillId="4" borderId="0" xfId="0" applyNumberFormat="1" applyFont="1" applyFill="1" applyAlignment="1">
      <alignment horizontal="center" vertical="center"/>
    </xf>
    <xf numFmtId="178" fontId="5" fillId="4" borderId="11" xfId="0" applyNumberFormat="1" applyFont="1" applyFill="1" applyBorder="1" applyAlignment="1">
      <alignment horizontal="center" vertical="center"/>
    </xf>
    <xf numFmtId="178" fontId="5" fillId="4" borderId="4" xfId="0" applyNumberFormat="1" applyFont="1" applyFill="1" applyBorder="1" applyAlignment="1">
      <alignment horizontal="center" vertical="center"/>
    </xf>
    <xf numFmtId="178" fontId="5" fillId="4" borderId="7" xfId="0" applyNumberFormat="1" applyFont="1" applyFill="1" applyBorder="1" applyAlignment="1">
      <alignment horizontal="center" vertical="center"/>
    </xf>
    <xf numFmtId="178" fontId="5" fillId="4" borderId="12" xfId="0" applyNumberFormat="1" applyFont="1" applyFill="1" applyBorder="1" applyAlignment="1">
      <alignment horizontal="center" vertical="center"/>
    </xf>
    <xf numFmtId="0" fontId="5" fillId="0" borderId="2" xfId="0" applyFont="1" applyBorder="1" applyAlignment="1">
      <alignment horizontal="center"/>
    </xf>
    <xf numFmtId="0" fontId="5" fillId="0" borderId="10" xfId="0" applyFont="1" applyBorder="1" applyAlignment="1">
      <alignment horizontal="center"/>
    </xf>
    <xf numFmtId="0" fontId="6" fillId="0" borderId="61" xfId="0" applyFont="1" applyBorder="1" applyAlignment="1">
      <alignment horizontal="center" vertical="center"/>
    </xf>
    <xf numFmtId="0" fontId="6" fillId="0" borderId="62" xfId="0" applyFont="1" applyBorder="1" applyAlignment="1">
      <alignment horizontal="center" vertical="center"/>
    </xf>
    <xf numFmtId="0" fontId="6" fillId="0" borderId="90" xfId="0" applyFont="1" applyBorder="1" applyAlignment="1">
      <alignment horizontal="center" vertical="center"/>
    </xf>
    <xf numFmtId="0" fontId="9" fillId="0" borderId="0" xfId="0" applyFont="1" applyAlignment="1">
      <alignment horizontal="left" vertical="center" wrapText="1"/>
    </xf>
    <xf numFmtId="0" fontId="9" fillId="0" borderId="0" xfId="0" applyFont="1" applyAlignment="1">
      <alignment horizontal="left" vertical="center"/>
    </xf>
    <xf numFmtId="177" fontId="5" fillId="0" borderId="50" xfId="0" applyNumberFormat="1" applyFont="1" applyBorder="1" applyAlignment="1">
      <alignment horizontal="right" vertical="center"/>
    </xf>
    <xf numFmtId="177" fontId="5" fillId="0" borderId="51" xfId="0" applyNumberFormat="1" applyFont="1" applyBorder="1" applyAlignment="1">
      <alignment horizontal="right" vertical="center"/>
    </xf>
    <xf numFmtId="184" fontId="6" fillId="0" borderId="1" xfId="0" applyNumberFormat="1" applyFont="1" applyBorder="1" applyAlignment="1">
      <alignment horizontal="center" vertical="center"/>
    </xf>
    <xf numFmtId="184" fontId="6" fillId="0" borderId="5" xfId="0" applyNumberFormat="1" applyFont="1" applyBorder="1" applyAlignment="1">
      <alignment horizontal="center" vertical="center"/>
    </xf>
    <xf numFmtId="184" fontId="6" fillId="0" borderId="9" xfId="0" applyNumberFormat="1" applyFont="1" applyBorder="1" applyAlignment="1">
      <alignment horizontal="center" vertical="center"/>
    </xf>
    <xf numFmtId="177" fontId="5" fillId="0" borderId="45" xfId="0" applyNumberFormat="1" applyFont="1" applyBorder="1" applyAlignment="1">
      <alignment horizontal="right" vertical="center"/>
    </xf>
    <xf numFmtId="177" fontId="5" fillId="0" borderId="46" xfId="0" applyNumberFormat="1" applyFont="1" applyBorder="1" applyAlignment="1">
      <alignment horizontal="right" vertical="center"/>
    </xf>
    <xf numFmtId="183" fontId="5" fillId="0" borderId="45" xfId="0" applyNumberFormat="1" applyFont="1" applyBorder="1" applyAlignment="1">
      <alignment horizontal="right" vertical="center"/>
    </xf>
    <xf numFmtId="183" fontId="5" fillId="0" borderId="46" xfId="0" applyNumberFormat="1" applyFont="1" applyBorder="1" applyAlignment="1">
      <alignment horizontal="right" vertical="center"/>
    </xf>
    <xf numFmtId="182" fontId="5" fillId="4" borderId="0" xfId="0" applyNumberFormat="1" applyFont="1" applyFill="1" applyAlignment="1" applyProtection="1">
      <alignment horizontal="right" vertical="center"/>
      <protection locked="0"/>
    </xf>
    <xf numFmtId="177" fontId="5" fillId="0" borderId="57" xfId="0" applyNumberFormat="1" applyFont="1" applyBorder="1" applyAlignment="1">
      <alignment horizontal="right" vertical="center"/>
    </xf>
    <xf numFmtId="177" fontId="5" fillId="0" borderId="58" xfId="0" applyNumberFormat="1" applyFont="1" applyBorder="1" applyAlignment="1">
      <alignment horizontal="right" vertical="center"/>
    </xf>
    <xf numFmtId="0" fontId="6" fillId="0" borderId="59" xfId="0" applyFont="1" applyBorder="1" applyAlignment="1">
      <alignment horizontal="center" vertical="center" wrapText="1"/>
    </xf>
    <xf numFmtId="0" fontId="6" fillId="0" borderId="60" xfId="0" applyFont="1" applyBorder="1" applyAlignment="1">
      <alignment horizontal="center" vertical="center" wrapText="1"/>
    </xf>
    <xf numFmtId="177" fontId="5" fillId="0" borderId="52" xfId="0" applyNumberFormat="1" applyFont="1" applyBorder="1" applyAlignment="1">
      <alignment horizontal="right" vertical="center"/>
    </xf>
    <xf numFmtId="177" fontId="5" fillId="0" borderId="54" xfId="0" applyNumberFormat="1" applyFont="1" applyBorder="1" applyAlignment="1">
      <alignment horizontal="right" vertical="center"/>
    </xf>
    <xf numFmtId="177" fontId="5" fillId="0" borderId="42" xfId="0" applyNumberFormat="1" applyFont="1" applyBorder="1" applyAlignment="1">
      <alignment horizontal="right" vertical="center"/>
    </xf>
    <xf numFmtId="177" fontId="5" fillId="0" borderId="44" xfId="0" applyNumberFormat="1" applyFont="1" applyBorder="1" applyAlignment="1">
      <alignment horizontal="right" vertical="center"/>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56" xfId="0" applyFont="1" applyBorder="1" applyAlignment="1">
      <alignment horizontal="center" vertical="center"/>
    </xf>
    <xf numFmtId="183" fontId="5" fillId="0" borderId="50" xfId="0" applyNumberFormat="1" applyFont="1" applyBorder="1" applyAlignment="1">
      <alignment horizontal="right" vertical="center"/>
    </xf>
    <xf numFmtId="183" fontId="5" fillId="0" borderId="51" xfId="0" applyNumberFormat="1" applyFont="1" applyBorder="1" applyAlignment="1">
      <alignment horizontal="right" vertical="center"/>
    </xf>
    <xf numFmtId="183" fontId="5" fillId="0" borderId="42" xfId="0" applyNumberFormat="1" applyFont="1" applyBorder="1" applyAlignment="1">
      <alignment horizontal="right" vertical="center"/>
    </xf>
    <xf numFmtId="183" fontId="5" fillId="0" borderId="44" xfId="0" applyNumberFormat="1" applyFont="1" applyBorder="1" applyAlignment="1">
      <alignment horizontal="right" vertical="center"/>
    </xf>
    <xf numFmtId="0" fontId="6" fillId="0" borderId="61" xfId="0" applyFont="1" applyBorder="1" applyAlignment="1">
      <alignment horizontal="center" vertical="center" wrapText="1"/>
    </xf>
    <xf numFmtId="0" fontId="6" fillId="0" borderId="63" xfId="0" applyFont="1" applyBorder="1" applyAlignment="1">
      <alignment horizontal="center" vertical="center" wrapText="1"/>
    </xf>
    <xf numFmtId="0" fontId="6" fillId="3" borderId="0" xfId="0" applyFont="1" applyFill="1" applyAlignment="1" applyProtection="1">
      <alignment horizontal="center" vertical="center" shrinkToFit="1"/>
      <protection locked="0"/>
    </xf>
    <xf numFmtId="183" fontId="5" fillId="0" borderId="57" xfId="0" applyNumberFormat="1" applyFont="1" applyBorder="1" applyAlignment="1">
      <alignment horizontal="right" vertical="center"/>
    </xf>
    <xf numFmtId="183" fontId="5" fillId="0" borderId="58" xfId="0" applyNumberFormat="1" applyFont="1" applyBorder="1" applyAlignment="1">
      <alignment horizontal="right" vertical="center"/>
    </xf>
    <xf numFmtId="183" fontId="5" fillId="0" borderId="52" xfId="0" applyNumberFormat="1" applyFont="1" applyBorder="1" applyAlignment="1">
      <alignment horizontal="right" vertical="center"/>
    </xf>
    <xf numFmtId="183" fontId="5" fillId="0" borderId="54" xfId="0" applyNumberFormat="1" applyFont="1" applyBorder="1" applyAlignment="1">
      <alignment horizontal="right" vertical="center"/>
    </xf>
    <xf numFmtId="0" fontId="6" fillId="0" borderId="63" xfId="0" applyFont="1" applyBorder="1" applyAlignment="1">
      <alignment horizontal="center" vertical="center"/>
    </xf>
    <xf numFmtId="193" fontId="5" fillId="0" borderId="1" xfId="0" applyNumberFormat="1" applyFont="1" applyBorder="1" applyAlignment="1" applyProtection="1">
      <alignment horizontal="right" vertical="center"/>
      <protection locked="0"/>
    </xf>
    <xf numFmtId="193" fontId="5" fillId="0" borderId="5" xfId="0" applyNumberFormat="1" applyFont="1" applyBorder="1" applyAlignment="1" applyProtection="1">
      <alignment horizontal="right" vertical="center"/>
      <protection locked="0"/>
    </xf>
    <xf numFmtId="193" fontId="5" fillId="0" borderId="9" xfId="0" applyNumberFormat="1" applyFont="1" applyBorder="1" applyAlignment="1" applyProtection="1">
      <alignment horizontal="right" vertical="center"/>
      <protection locked="0"/>
    </xf>
    <xf numFmtId="0" fontId="13" fillId="0" borderId="59" xfId="0" applyFont="1" applyBorder="1" applyAlignment="1">
      <alignment horizontal="left" vertical="center" wrapText="1"/>
    </xf>
    <xf numFmtId="0" fontId="13" fillId="0" borderId="0" xfId="0" applyFont="1" applyAlignment="1">
      <alignment horizontal="left" vertical="center" wrapText="1"/>
    </xf>
    <xf numFmtId="0" fontId="9" fillId="0" borderId="1" xfId="0" applyFont="1" applyBorder="1" applyAlignment="1">
      <alignment horizontal="center" vertical="center"/>
    </xf>
    <xf numFmtId="0" fontId="9" fillId="0" borderId="5" xfId="0" applyFont="1" applyBorder="1" applyAlignment="1">
      <alignment horizontal="center" vertical="center"/>
    </xf>
    <xf numFmtId="0" fontId="9" fillId="0" borderId="9" xfId="0" applyFont="1" applyBorder="1" applyAlignment="1">
      <alignment horizontal="center" vertical="center"/>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6" fillId="0" borderId="41" xfId="0" applyFont="1" applyBorder="1" applyAlignment="1">
      <alignment horizontal="center" vertical="center" wrapText="1"/>
    </xf>
    <xf numFmtId="2" fontId="5" fillId="0" borderId="2" xfId="0" applyNumberFormat="1" applyFont="1" applyBorder="1" applyAlignment="1">
      <alignment horizontal="center" vertical="center"/>
    </xf>
    <xf numFmtId="2" fontId="5" fillId="0" borderId="6" xfId="0" applyNumberFormat="1" applyFont="1" applyBorder="1" applyAlignment="1">
      <alignment horizontal="center" vertical="center"/>
    </xf>
    <xf numFmtId="2" fontId="5" fillId="0" borderId="10" xfId="0" applyNumberFormat="1"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3" xfId="0" applyFont="1" applyBorder="1" applyAlignment="1">
      <alignment horizontal="center" vertical="center"/>
    </xf>
    <xf numFmtId="0" fontId="6" fillId="0" borderId="0" xfId="0" applyFont="1" applyAlignment="1">
      <alignment horizontal="center" vertical="center"/>
    </xf>
    <xf numFmtId="0" fontId="6" fillId="0" borderId="4" xfId="0" applyFont="1" applyBorder="1" applyAlignment="1">
      <alignment horizontal="center" vertical="center"/>
    </xf>
    <xf numFmtId="0" fontId="6" fillId="0" borderId="7" xfId="0" applyFont="1" applyBorder="1" applyAlignment="1">
      <alignment horizontal="center" vertical="center"/>
    </xf>
    <xf numFmtId="0" fontId="6" fillId="0" borderId="14" xfId="0" applyFont="1" applyBorder="1" applyAlignment="1">
      <alignment horizontal="left" vertical="center"/>
    </xf>
    <xf numFmtId="0" fontId="6" fillId="0" borderId="67" xfId="0" applyFont="1" applyBorder="1" applyAlignment="1">
      <alignment horizontal="left" vertical="center"/>
    </xf>
    <xf numFmtId="0" fontId="6" fillId="0" borderId="68"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xf>
    <xf numFmtId="0" fontId="6" fillId="0" borderId="9" xfId="0" applyFont="1" applyBorder="1" applyAlignment="1">
      <alignment horizontal="left" vertical="center"/>
    </xf>
    <xf numFmtId="0" fontId="6" fillId="0" borderId="78" xfId="0" applyFont="1" applyBorder="1" applyAlignment="1">
      <alignment horizontal="left" vertical="center"/>
    </xf>
    <xf numFmtId="0" fontId="6" fillId="0" borderId="75" xfId="0" applyFont="1" applyBorder="1" applyAlignment="1">
      <alignment horizontal="left" vertical="center"/>
    </xf>
    <xf numFmtId="0" fontId="6" fillId="0" borderId="74" xfId="0" applyFont="1" applyBorder="1" applyAlignment="1">
      <alignment horizontal="left" vertical="center"/>
    </xf>
    <xf numFmtId="0" fontId="6" fillId="0" borderId="4" xfId="0" applyFont="1" applyBorder="1" applyAlignment="1">
      <alignment horizontal="left" vertical="center"/>
    </xf>
    <xf numFmtId="0" fontId="6" fillId="0" borderId="7" xfId="0" applyFont="1" applyBorder="1" applyAlignment="1">
      <alignment horizontal="left" vertical="center"/>
    </xf>
    <xf numFmtId="0" fontId="6" fillId="0" borderId="12" xfId="0" applyFont="1" applyBorder="1" applyAlignment="1">
      <alignment horizontal="left" vertical="center"/>
    </xf>
    <xf numFmtId="2" fontId="5" fillId="0" borderId="4" xfId="0" applyNumberFormat="1" applyFont="1" applyBorder="1" applyAlignment="1">
      <alignment horizontal="center" vertical="center"/>
    </xf>
    <xf numFmtId="2" fontId="5" fillId="0" borderId="7" xfId="0" applyNumberFormat="1" applyFont="1" applyBorder="1" applyAlignment="1">
      <alignment horizontal="center" vertical="center"/>
    </xf>
    <xf numFmtId="2" fontId="5" fillId="0" borderId="12" xfId="0" applyNumberFormat="1" applyFont="1" applyBorder="1" applyAlignment="1">
      <alignment horizontal="center" vertical="center"/>
    </xf>
    <xf numFmtId="0" fontId="6" fillId="0" borderId="1" xfId="0" applyFont="1" applyBorder="1" applyAlignment="1">
      <alignment horizontal="left" vertical="center"/>
    </xf>
    <xf numFmtId="2" fontId="5" fillId="0" borderId="9" xfId="0" applyNumberFormat="1" applyFont="1" applyBorder="1" applyAlignment="1">
      <alignment horizontal="center" vertical="center"/>
    </xf>
    <xf numFmtId="0" fontId="6" fillId="0" borderId="6" xfId="0" applyFont="1" applyBorder="1" applyAlignment="1">
      <alignment horizontal="left" vertical="center"/>
    </xf>
    <xf numFmtId="0" fontId="6" fillId="0" borderId="10" xfId="0" applyFont="1" applyBorder="1" applyAlignment="1">
      <alignment horizontal="left" vertical="center"/>
    </xf>
    <xf numFmtId="191" fontId="5" fillId="0" borderId="3" xfId="0" applyNumberFormat="1" applyFont="1" applyBorder="1" applyAlignment="1">
      <alignment horizontal="center" vertical="center"/>
    </xf>
    <xf numFmtId="191" fontId="5" fillId="0" borderId="0" xfId="0" applyNumberFormat="1" applyFont="1" applyAlignment="1">
      <alignment horizontal="center" vertical="center"/>
    </xf>
    <xf numFmtId="0" fontId="6" fillId="0" borderId="81" xfId="0" applyFont="1" applyBorder="1" applyAlignment="1">
      <alignment horizontal="center" vertical="center"/>
    </xf>
    <xf numFmtId="0" fontId="6" fillId="0" borderId="82" xfId="0" applyFont="1" applyBorder="1" applyAlignment="1">
      <alignment horizontal="center" vertical="center"/>
    </xf>
    <xf numFmtId="0" fontId="6" fillId="0" borderId="1"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191" fontId="6" fillId="0" borderId="1" xfId="0" applyNumberFormat="1" applyFont="1" applyBorder="1" applyAlignment="1">
      <alignment horizontal="center" vertical="center"/>
    </xf>
    <xf numFmtId="191" fontId="6" fillId="0" borderId="5" xfId="0" applyNumberFormat="1" applyFont="1" applyBorder="1" applyAlignment="1">
      <alignment horizontal="center" vertical="center"/>
    </xf>
    <xf numFmtId="191" fontId="6" fillId="0" borderId="9" xfId="0" applyNumberFormat="1" applyFont="1" applyBorder="1" applyAlignment="1">
      <alignment horizontal="center" vertical="center"/>
    </xf>
    <xf numFmtId="0" fontId="5" fillId="0" borderId="2" xfId="0" applyFont="1" applyBorder="1" applyAlignment="1">
      <alignment horizontal="center" vertical="center"/>
    </xf>
    <xf numFmtId="0" fontId="5" fillId="0" borderId="6" xfId="0" applyFont="1" applyBorder="1" applyAlignment="1">
      <alignment horizontal="center" vertical="center"/>
    </xf>
    <xf numFmtId="0" fontId="5" fillId="0" borderId="10" xfId="0" applyFont="1" applyBorder="1" applyAlignment="1">
      <alignment horizontal="center" vertical="center"/>
    </xf>
    <xf numFmtId="181" fontId="5" fillId="0" borderId="2" xfId="0" applyNumberFormat="1" applyFont="1" applyBorder="1" applyAlignment="1">
      <alignment horizontal="right" vertical="center"/>
    </xf>
    <xf numFmtId="181" fontId="5" fillId="0" borderId="10" xfId="0" applyNumberFormat="1" applyFont="1" applyBorder="1" applyAlignment="1">
      <alignment horizontal="right" vertical="center"/>
    </xf>
    <xf numFmtId="181" fontId="5" fillId="0" borderId="3" xfId="0" applyNumberFormat="1" applyFont="1" applyBorder="1" applyAlignment="1">
      <alignment horizontal="right" vertical="center"/>
    </xf>
    <xf numFmtId="181" fontId="5" fillId="0" borderId="0" xfId="0" applyNumberFormat="1" applyFont="1" applyAlignment="1">
      <alignment horizontal="right" vertical="center"/>
    </xf>
    <xf numFmtId="181" fontId="5" fillId="0" borderId="11" xfId="0" applyNumberFormat="1" applyFont="1" applyBorder="1" applyAlignment="1">
      <alignment horizontal="right"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6" fillId="0" borderId="59" xfId="0" applyFont="1" applyBorder="1" applyAlignment="1">
      <alignment horizontal="center" vertical="center"/>
    </xf>
    <xf numFmtId="0" fontId="6" fillId="0" borderId="60" xfId="0" applyFont="1" applyBorder="1" applyAlignment="1">
      <alignment horizontal="center" vertical="center"/>
    </xf>
    <xf numFmtId="191" fontId="5" fillId="0" borderId="4" xfId="0" applyNumberFormat="1" applyFont="1" applyBorder="1" applyAlignment="1">
      <alignment horizontal="center" vertical="center"/>
    </xf>
    <xf numFmtId="191" fontId="5" fillId="0" borderId="7" xfId="0" applyNumberFormat="1" applyFont="1" applyBorder="1" applyAlignment="1">
      <alignment horizontal="center" vertical="center"/>
    </xf>
    <xf numFmtId="0" fontId="6" fillId="0" borderId="3" xfId="0" applyFont="1" applyBorder="1" applyAlignment="1">
      <alignment horizontal="left" vertical="center"/>
    </xf>
    <xf numFmtId="0" fontId="6" fillId="0" borderId="0" xfId="0" applyFont="1" applyAlignment="1">
      <alignment horizontal="left" vertical="center"/>
    </xf>
    <xf numFmtId="0" fontId="5" fillId="0" borderId="1" xfId="0" applyFont="1" applyBorder="1" applyAlignment="1">
      <alignment horizontal="center" vertical="center"/>
    </xf>
    <xf numFmtId="0" fontId="5" fillId="0" borderId="5" xfId="0" applyFont="1" applyBorder="1" applyAlignment="1">
      <alignment horizontal="center" vertical="center"/>
    </xf>
    <xf numFmtId="0" fontId="5" fillId="0" borderId="9" xfId="0" applyFont="1" applyBorder="1" applyAlignment="1">
      <alignment horizontal="center" vertical="center"/>
    </xf>
    <xf numFmtId="181" fontId="5" fillId="0" borderId="1" xfId="0" applyNumberFormat="1" applyFont="1" applyBorder="1" applyAlignment="1">
      <alignment horizontal="right" vertical="center"/>
    </xf>
    <xf numFmtId="181" fontId="5" fillId="0" borderId="9" xfId="0" applyNumberFormat="1" applyFont="1" applyBorder="1" applyAlignment="1">
      <alignment horizontal="right" vertical="center"/>
    </xf>
    <xf numFmtId="181" fontId="5" fillId="0" borderId="5" xfId="0" applyNumberFormat="1" applyFont="1" applyBorder="1" applyAlignment="1">
      <alignment horizontal="right" vertical="center"/>
    </xf>
    <xf numFmtId="181" fontId="5" fillId="0" borderId="4" xfId="0" applyNumberFormat="1" applyFont="1" applyBorder="1" applyAlignment="1">
      <alignment horizontal="right" vertical="center"/>
    </xf>
    <xf numFmtId="181" fontId="5" fillId="0" borderId="7" xfId="0" applyNumberFormat="1" applyFont="1" applyBorder="1" applyAlignment="1">
      <alignment horizontal="right" vertical="center"/>
    </xf>
    <xf numFmtId="181" fontId="5" fillId="0" borderId="12" xfId="0" applyNumberFormat="1" applyFont="1" applyBorder="1" applyAlignment="1">
      <alignment horizontal="right" vertical="center"/>
    </xf>
    <xf numFmtId="0" fontId="6" fillId="0" borderId="57" xfId="0" applyFont="1" applyBorder="1" applyAlignment="1">
      <alignment horizontal="center" vertical="center"/>
    </xf>
    <xf numFmtId="0" fontId="6" fillId="0" borderId="58" xfId="0" applyFont="1" applyBorder="1" applyAlignment="1">
      <alignment horizontal="center" vertical="center"/>
    </xf>
    <xf numFmtId="0" fontId="6" fillId="0" borderId="10" xfId="0" applyFont="1" applyBorder="1" applyAlignment="1">
      <alignment horizontal="center" vertical="center" wrapText="1"/>
    </xf>
    <xf numFmtId="194" fontId="5" fillId="0" borderId="1" xfId="0" applyNumberFormat="1" applyFont="1" applyBorder="1" applyAlignment="1">
      <alignment horizontal="right" vertical="center"/>
    </xf>
    <xf numFmtId="194" fontId="5" fillId="0" borderId="9" xfId="0" applyNumberFormat="1" applyFont="1" applyBorder="1" applyAlignment="1">
      <alignment horizontal="right" vertical="center"/>
    </xf>
    <xf numFmtId="0" fontId="6" fillId="0" borderId="10" xfId="0" applyFont="1" applyBorder="1" applyAlignment="1">
      <alignment horizontal="center" vertical="center"/>
    </xf>
    <xf numFmtId="0" fontId="6" fillId="4" borderId="1" xfId="0" applyFont="1" applyFill="1" applyBorder="1" applyAlignment="1">
      <alignment horizontal="center" vertical="center" shrinkToFit="1"/>
    </xf>
    <xf numFmtId="0" fontId="6" fillId="4" borderId="5" xfId="0" applyFont="1" applyFill="1" applyBorder="1" applyAlignment="1">
      <alignment horizontal="center" vertical="center" shrinkToFit="1"/>
    </xf>
    <xf numFmtId="0" fontId="6" fillId="4" borderId="9" xfId="0" applyFont="1" applyFill="1" applyBorder="1" applyAlignment="1">
      <alignment horizontal="center" vertical="center" shrinkToFit="1"/>
    </xf>
    <xf numFmtId="178" fontId="5" fillId="4" borderId="2" xfId="0" applyNumberFormat="1" applyFont="1" applyFill="1" applyBorder="1" applyAlignment="1">
      <alignment horizontal="center" vertical="center" wrapText="1"/>
    </xf>
    <xf numFmtId="178" fontId="5" fillId="4" borderId="6" xfId="0" applyNumberFormat="1" applyFont="1" applyFill="1" applyBorder="1" applyAlignment="1">
      <alignment horizontal="center" vertical="center" wrapText="1"/>
    </xf>
    <xf numFmtId="178" fontId="5" fillId="4" borderId="10" xfId="0" applyNumberFormat="1" applyFont="1" applyFill="1" applyBorder="1" applyAlignment="1">
      <alignment horizontal="center" vertical="center" wrapText="1"/>
    </xf>
    <xf numFmtId="178" fontId="5" fillId="4" borderId="3" xfId="0" applyNumberFormat="1" applyFont="1" applyFill="1" applyBorder="1" applyAlignment="1">
      <alignment horizontal="center" vertical="center" wrapText="1"/>
    </xf>
    <xf numFmtId="178" fontId="5" fillId="4" borderId="0" xfId="0" applyNumberFormat="1" applyFont="1" applyFill="1" applyAlignment="1">
      <alignment horizontal="center" vertical="center" wrapText="1"/>
    </xf>
    <xf numFmtId="178" fontId="5" fillId="4" borderId="11" xfId="0" applyNumberFormat="1" applyFont="1" applyFill="1" applyBorder="1" applyAlignment="1">
      <alignment horizontal="center" vertical="center" wrapText="1"/>
    </xf>
    <xf numFmtId="178" fontId="5" fillId="4" borderId="4" xfId="0" applyNumberFormat="1" applyFont="1" applyFill="1" applyBorder="1" applyAlignment="1">
      <alignment horizontal="center" vertical="center" wrapText="1"/>
    </xf>
    <xf numFmtId="178" fontId="5" fillId="4" borderId="7" xfId="0" applyNumberFormat="1" applyFont="1" applyFill="1" applyBorder="1" applyAlignment="1">
      <alignment horizontal="center" vertical="center" wrapText="1"/>
    </xf>
    <xf numFmtId="178" fontId="5" fillId="4" borderId="12" xfId="0" applyNumberFormat="1" applyFont="1" applyFill="1" applyBorder="1" applyAlignment="1">
      <alignment horizontal="center" vertical="center" wrapText="1"/>
    </xf>
    <xf numFmtId="0" fontId="5" fillId="0" borderId="50" xfId="0" applyFont="1" applyBorder="1" applyAlignment="1">
      <alignment horizontal="center" vertical="center"/>
    </xf>
    <xf numFmtId="0" fontId="5" fillId="0" borderId="51" xfId="0" applyFont="1" applyBorder="1" applyAlignment="1">
      <alignment horizontal="center" vertical="center"/>
    </xf>
    <xf numFmtId="0" fontId="5" fillId="0" borderId="45" xfId="0" applyFont="1" applyBorder="1" applyAlignment="1">
      <alignment horizontal="center" vertical="center"/>
    </xf>
    <xf numFmtId="0" fontId="5" fillId="0" borderId="46" xfId="0" applyFont="1" applyBorder="1" applyAlignment="1">
      <alignment horizontal="center" vertical="center"/>
    </xf>
    <xf numFmtId="178" fontId="5" fillId="3" borderId="2" xfId="0" applyNumberFormat="1" applyFont="1" applyFill="1" applyBorder="1" applyAlignment="1">
      <alignment horizontal="center" vertical="center" wrapText="1"/>
    </xf>
    <xf numFmtId="178" fontId="5" fillId="3" borderId="6" xfId="0" applyNumberFormat="1" applyFont="1" applyFill="1" applyBorder="1" applyAlignment="1">
      <alignment horizontal="center" vertical="center" wrapText="1"/>
    </xf>
    <xf numFmtId="178" fontId="5" fillId="3" borderId="10" xfId="0" applyNumberFormat="1" applyFont="1" applyFill="1" applyBorder="1" applyAlignment="1">
      <alignment horizontal="center" vertical="center" wrapText="1"/>
    </xf>
    <xf numFmtId="178" fontId="5" fillId="3" borderId="3" xfId="0" applyNumberFormat="1" applyFont="1" applyFill="1" applyBorder="1" applyAlignment="1">
      <alignment horizontal="center" vertical="center" wrapText="1"/>
    </xf>
    <xf numFmtId="178" fontId="5" fillId="3" borderId="0" xfId="0" applyNumberFormat="1" applyFont="1" applyFill="1" applyAlignment="1">
      <alignment horizontal="center" vertical="center" wrapText="1"/>
    </xf>
    <xf numFmtId="178" fontId="5" fillId="3" borderId="11" xfId="0" applyNumberFormat="1" applyFont="1" applyFill="1" applyBorder="1" applyAlignment="1">
      <alignment horizontal="center" vertical="center" wrapText="1"/>
    </xf>
    <xf numFmtId="178" fontId="5" fillId="3" borderId="4" xfId="0" applyNumberFormat="1" applyFont="1" applyFill="1" applyBorder="1" applyAlignment="1">
      <alignment horizontal="center" vertical="center" wrapText="1"/>
    </xf>
    <xf numFmtId="178" fontId="5" fillId="3" borderId="7" xfId="0" applyNumberFormat="1" applyFont="1" applyFill="1" applyBorder="1" applyAlignment="1">
      <alignment horizontal="center" vertical="center" wrapText="1"/>
    </xf>
    <xf numFmtId="178" fontId="5" fillId="3" borderId="12" xfId="0" applyNumberFormat="1" applyFont="1" applyFill="1" applyBorder="1" applyAlignment="1">
      <alignment horizontal="center" vertical="center" wrapText="1"/>
    </xf>
    <xf numFmtId="176" fontId="10" fillId="0" borderId="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9" xfId="0" applyNumberFormat="1" applyFont="1" applyBorder="1" applyAlignment="1">
      <alignment horizontal="center" vertical="center"/>
    </xf>
    <xf numFmtId="0" fontId="6" fillId="4" borderId="3" xfId="0" applyFont="1" applyFill="1" applyBorder="1" applyAlignment="1">
      <alignment horizontal="center" vertical="center" shrinkToFit="1"/>
    </xf>
    <xf numFmtId="0" fontId="6" fillId="4" borderId="0" xfId="0" applyFont="1" applyFill="1" applyAlignment="1">
      <alignment horizontal="center" vertical="center" shrinkToFit="1"/>
    </xf>
    <xf numFmtId="0" fontId="6" fillId="4" borderId="11" xfId="0" applyFont="1" applyFill="1" applyBorder="1" applyAlignment="1">
      <alignment horizontal="center" vertical="center" shrinkToFit="1"/>
    </xf>
    <xf numFmtId="0" fontId="6" fillId="4" borderId="4"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12" xfId="0" applyFont="1" applyFill="1" applyBorder="1" applyAlignment="1">
      <alignment horizontal="center" vertical="center" shrinkToFit="1"/>
    </xf>
    <xf numFmtId="178" fontId="5" fillId="3" borderId="3" xfId="0" applyNumberFormat="1" applyFont="1" applyFill="1" applyBorder="1" applyAlignment="1">
      <alignment horizontal="center" vertical="center"/>
    </xf>
    <xf numFmtId="178" fontId="5" fillId="3" borderId="0" xfId="0" applyNumberFormat="1" applyFont="1" applyFill="1" applyAlignment="1">
      <alignment horizontal="center" vertical="center"/>
    </xf>
    <xf numFmtId="178" fontId="5" fillId="3" borderId="11" xfId="0" applyNumberFormat="1" applyFont="1" applyFill="1" applyBorder="1" applyAlignment="1">
      <alignment horizontal="center" vertical="center"/>
    </xf>
    <xf numFmtId="187" fontId="5" fillId="3" borderId="0" xfId="0" applyNumberFormat="1" applyFont="1" applyFill="1" applyAlignment="1" applyProtection="1">
      <alignment horizontal="right" vertical="center"/>
      <protection locked="0"/>
    </xf>
    <xf numFmtId="187" fontId="5" fillId="0" borderId="4" xfId="0" applyNumberFormat="1" applyFont="1" applyBorder="1" applyAlignment="1">
      <alignment horizontal="right" vertical="center"/>
    </xf>
    <xf numFmtId="187" fontId="5" fillId="0" borderId="7" xfId="0" applyNumberFormat="1" applyFont="1" applyBorder="1" applyAlignment="1">
      <alignment horizontal="right"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84" xfId="0" applyFont="1" applyBorder="1" applyAlignment="1">
      <alignment horizontal="center" vertical="center" wrapText="1"/>
    </xf>
    <xf numFmtId="0" fontId="6" fillId="0" borderId="85" xfId="0" applyFont="1" applyBorder="1" applyAlignment="1">
      <alignment horizontal="center" vertical="center"/>
    </xf>
    <xf numFmtId="0" fontId="6" fillId="0" borderId="34" xfId="0" applyFont="1" applyBorder="1" applyAlignment="1">
      <alignment horizontal="center" vertical="center"/>
    </xf>
    <xf numFmtId="0" fontId="6" fillId="0" borderId="35" xfId="0" applyFont="1" applyBorder="1" applyAlignment="1">
      <alignment horizontal="center" vertical="center"/>
    </xf>
    <xf numFmtId="0" fontId="6" fillId="0" borderId="36" xfId="0" applyFont="1" applyBorder="1" applyAlignment="1">
      <alignment horizontal="center" vertical="center"/>
    </xf>
    <xf numFmtId="0" fontId="6" fillId="0" borderId="37" xfId="0" applyFont="1" applyBorder="1" applyAlignment="1">
      <alignment horizontal="center" vertical="center"/>
    </xf>
    <xf numFmtId="0" fontId="6" fillId="0" borderId="38" xfId="0" applyFont="1" applyBorder="1" applyAlignment="1">
      <alignment horizontal="center" vertical="center"/>
    </xf>
    <xf numFmtId="0" fontId="6" fillId="0" borderId="39" xfId="0" applyFont="1" applyBorder="1" applyAlignment="1">
      <alignment horizontal="center" vertical="center"/>
    </xf>
    <xf numFmtId="0" fontId="5" fillId="3" borderId="50" xfId="0" applyFont="1" applyFill="1" applyBorder="1" applyAlignment="1">
      <alignment horizontal="center" vertical="center" shrinkToFit="1"/>
    </xf>
    <xf numFmtId="0" fontId="5" fillId="3" borderId="5" xfId="0" applyFont="1" applyFill="1" applyBorder="1" applyAlignment="1">
      <alignment horizontal="center" vertical="center" shrinkToFit="1"/>
    </xf>
    <xf numFmtId="0" fontId="5" fillId="3" borderId="51" xfId="0" applyFont="1" applyFill="1" applyBorder="1" applyAlignment="1">
      <alignment horizontal="center" vertical="center" shrinkToFit="1"/>
    </xf>
    <xf numFmtId="179" fontId="5" fillId="0" borderId="1" xfId="0" applyNumberFormat="1" applyFont="1" applyBorder="1" applyAlignment="1">
      <alignment horizontal="right" vertical="center"/>
    </xf>
    <xf numFmtId="179" fontId="5" fillId="0" borderId="9" xfId="0" applyNumberFormat="1" applyFont="1" applyBorder="1" applyAlignment="1">
      <alignment horizontal="right" vertical="center"/>
    </xf>
    <xf numFmtId="2" fontId="5" fillId="0" borderId="1" xfId="0" applyNumberFormat="1" applyFont="1" applyBorder="1" applyAlignment="1">
      <alignment horizontal="right" vertical="center"/>
    </xf>
    <xf numFmtId="2" fontId="5" fillId="0" borderId="9" xfId="0" applyNumberFormat="1" applyFont="1" applyBorder="1" applyAlignment="1">
      <alignment horizontal="right" vertical="center"/>
    </xf>
    <xf numFmtId="178" fontId="6" fillId="3" borderId="19" xfId="0" applyNumberFormat="1" applyFont="1" applyFill="1" applyBorder="1" applyAlignment="1">
      <alignment horizontal="center" vertical="center"/>
    </xf>
    <xf numFmtId="179" fontId="5" fillId="0" borderId="2" xfId="0" applyNumberFormat="1" applyFont="1" applyBorder="1" applyAlignment="1">
      <alignment horizontal="right" vertical="center"/>
    </xf>
    <xf numFmtId="179" fontId="5" fillId="0" borderId="10" xfId="0" applyNumberFormat="1" applyFont="1" applyBorder="1" applyAlignment="1">
      <alignment horizontal="right" vertical="center"/>
    </xf>
    <xf numFmtId="179" fontId="5" fillId="0" borderId="19" xfId="0" applyNumberFormat="1" applyFont="1" applyBorder="1" applyAlignment="1">
      <alignment horizontal="right" vertical="center"/>
    </xf>
    <xf numFmtId="179" fontId="5" fillId="0" borderId="13" xfId="0" applyNumberFormat="1" applyFont="1" applyBorder="1" applyAlignment="1">
      <alignment horizontal="right" vertical="center"/>
    </xf>
    <xf numFmtId="179" fontId="5" fillId="0" borderId="5" xfId="0" applyNumberFormat="1" applyFont="1" applyBorder="1" applyAlignment="1">
      <alignment horizontal="right" vertical="center"/>
    </xf>
    <xf numFmtId="179" fontId="5" fillId="0" borderId="6" xfId="0" applyNumberFormat="1" applyFont="1" applyBorder="1" applyAlignment="1">
      <alignment horizontal="right" vertical="center"/>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179" fontId="5" fillId="0" borderId="19" xfId="0" applyNumberFormat="1" applyFont="1" applyBorder="1" applyAlignment="1">
      <alignment horizontal="right" vertical="center" wrapText="1"/>
    </xf>
    <xf numFmtId="179" fontId="5" fillId="0" borderId="1" xfId="0" applyNumberFormat="1" applyFont="1" applyBorder="1" applyAlignment="1">
      <alignment horizontal="right" vertical="center" wrapText="1"/>
    </xf>
    <xf numFmtId="0" fontId="6" fillId="0" borderId="19" xfId="0" applyFont="1" applyBorder="1" applyAlignment="1">
      <alignment horizontal="center" vertical="center" wrapText="1"/>
    </xf>
    <xf numFmtId="0" fontId="6" fillId="0" borderId="19" xfId="0" applyFont="1" applyBorder="1" applyAlignment="1">
      <alignment horizontal="center" vertical="center"/>
    </xf>
    <xf numFmtId="0" fontId="8" fillId="0" borderId="3" xfId="0" applyFont="1" applyBorder="1" applyAlignment="1">
      <alignment horizontal="left" vertical="center" wrapText="1"/>
    </xf>
    <xf numFmtId="0" fontId="8" fillId="0" borderId="0" xfId="0" applyFont="1" applyAlignment="1">
      <alignment horizontal="left" vertical="center"/>
    </xf>
    <xf numFmtId="0" fontId="8" fillId="0" borderId="11"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wrapText="1"/>
    </xf>
    <xf numFmtId="0" fontId="8" fillId="0" borderId="7" xfId="0" applyFont="1" applyBorder="1" applyAlignment="1">
      <alignment horizontal="left" vertical="center"/>
    </xf>
    <xf numFmtId="0" fontId="8" fillId="0" borderId="12" xfId="0" applyFont="1" applyBorder="1" applyAlignment="1">
      <alignment horizontal="left" vertical="center"/>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3" fillId="0" borderId="10" xfId="0" applyFont="1" applyBorder="1" applyAlignment="1">
      <alignment horizontal="center" vertical="center"/>
    </xf>
    <xf numFmtId="0" fontId="8" fillId="0" borderId="2" xfId="0" applyFont="1" applyBorder="1" applyAlignment="1">
      <alignment horizontal="left" vertical="center"/>
    </xf>
    <xf numFmtId="0" fontId="8" fillId="0" borderId="6" xfId="0" applyFont="1" applyBorder="1" applyAlignment="1">
      <alignment horizontal="left" vertical="center"/>
    </xf>
    <xf numFmtId="0" fontId="8" fillId="0" borderId="10" xfId="0" applyFont="1" applyBorder="1" applyAlignment="1">
      <alignment horizontal="left" vertical="center"/>
    </xf>
    <xf numFmtId="0" fontId="9" fillId="0" borderId="6" xfId="0" applyFont="1" applyBorder="1" applyAlignment="1">
      <alignment horizontal="left" vertical="center" wrapText="1"/>
    </xf>
    <xf numFmtId="0" fontId="9" fillId="0" borderId="6" xfId="0" applyFont="1" applyBorder="1" applyAlignment="1">
      <alignment horizontal="left" vertical="center"/>
    </xf>
    <xf numFmtId="181" fontId="5" fillId="3" borderId="1" xfId="0" applyNumberFormat="1" applyFont="1" applyFill="1" applyBorder="1" applyAlignment="1">
      <alignment horizontal="right" vertical="center"/>
    </xf>
    <xf numFmtId="181" fontId="5" fillId="3" borderId="9" xfId="0" applyNumberFormat="1" applyFont="1" applyFill="1" applyBorder="1" applyAlignment="1">
      <alignment horizontal="right" vertical="center"/>
    </xf>
    <xf numFmtId="0" fontId="5" fillId="0" borderId="13"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64" xfId="0" applyFont="1"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3" borderId="0" xfId="0" applyFont="1" applyFill="1" applyAlignment="1" applyProtection="1">
      <alignment horizontal="center" vertical="center"/>
      <protection locked="0"/>
    </xf>
    <xf numFmtId="0" fontId="5" fillId="0" borderId="19" xfId="0" applyFont="1" applyBorder="1" applyAlignment="1">
      <alignment horizontal="center" vertical="center"/>
    </xf>
    <xf numFmtId="0" fontId="21" fillId="0" borderId="1"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9"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2" xfId="0" applyFont="1" applyBorder="1" applyAlignment="1">
      <alignment horizontal="center" vertical="center" wrapText="1"/>
    </xf>
    <xf numFmtId="0" fontId="5" fillId="0" borderId="7" xfId="0" applyFont="1" applyBorder="1" applyAlignment="1">
      <alignment horizontal="center" vertical="center"/>
    </xf>
    <xf numFmtId="181" fontId="5" fillId="3" borderId="6" xfId="0" applyNumberFormat="1" applyFont="1" applyFill="1" applyBorder="1" applyAlignment="1">
      <alignment horizontal="right" vertical="center"/>
    </xf>
    <xf numFmtId="181" fontId="5" fillId="3" borderId="10" xfId="0" applyNumberFormat="1" applyFont="1" applyFill="1" applyBorder="1" applyAlignment="1">
      <alignment horizontal="right" vertical="center"/>
    </xf>
    <xf numFmtId="181" fontId="5" fillId="3" borderId="7" xfId="0" applyNumberFormat="1" applyFont="1" applyFill="1" applyBorder="1" applyAlignment="1">
      <alignment horizontal="right" vertical="center"/>
    </xf>
    <xf numFmtId="181" fontId="5" fillId="3" borderId="12" xfId="0" applyNumberFormat="1" applyFont="1" applyFill="1" applyBorder="1" applyAlignment="1">
      <alignment horizontal="right" vertical="center"/>
    </xf>
    <xf numFmtId="0" fontId="5" fillId="0" borderId="4" xfId="0" applyFont="1" applyBorder="1" applyAlignment="1">
      <alignment horizontal="center" vertical="center"/>
    </xf>
    <xf numFmtId="0" fontId="5" fillId="0" borderId="12" xfId="0" applyFont="1" applyBorder="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5" fillId="0" borderId="0" xfId="0" applyFont="1" applyAlignment="1">
      <alignment horizontal="left" vertical="center" wrapText="1"/>
    </xf>
    <xf numFmtId="58" fontId="5" fillId="0" borderId="0" xfId="0" applyNumberFormat="1" applyFont="1" applyAlignment="1" applyProtection="1">
      <alignment horizontal="right" vertical="center"/>
      <protection locked="0"/>
    </xf>
    <xf numFmtId="0" fontId="10" fillId="0" borderId="2" xfId="0" applyFont="1" applyBorder="1" applyAlignment="1">
      <alignment horizontal="center" vertical="center"/>
    </xf>
    <xf numFmtId="0" fontId="10" fillId="0" borderId="10" xfId="0" applyFont="1" applyBorder="1" applyAlignment="1">
      <alignment horizontal="center" vertical="center"/>
    </xf>
    <xf numFmtId="0" fontId="10" fillId="0" borderId="4" xfId="0" applyFont="1" applyBorder="1" applyAlignment="1">
      <alignment horizontal="center" vertical="center"/>
    </xf>
    <xf numFmtId="0" fontId="10" fillId="0" borderId="12" xfId="0" applyFont="1" applyBorder="1" applyAlignment="1">
      <alignment horizontal="center" vertical="center"/>
    </xf>
    <xf numFmtId="200" fontId="6" fillId="4" borderId="71" xfId="0" applyNumberFormat="1" applyFont="1" applyFill="1" applyBorder="1" applyAlignment="1">
      <alignment horizontal="center" vertical="center"/>
    </xf>
    <xf numFmtId="200" fontId="6" fillId="4" borderId="6" xfId="0" applyNumberFormat="1" applyFont="1" applyFill="1" applyBorder="1" applyAlignment="1">
      <alignment horizontal="center" vertical="center"/>
    </xf>
    <xf numFmtId="200" fontId="6" fillId="4" borderId="10" xfId="0" applyNumberFormat="1" applyFont="1" applyFill="1" applyBorder="1" applyAlignment="1">
      <alignment horizontal="center" vertical="center"/>
    </xf>
    <xf numFmtId="186" fontId="6" fillId="4" borderId="71" xfId="0" applyNumberFormat="1" applyFont="1" applyFill="1" applyBorder="1" applyAlignment="1">
      <alignment horizontal="center" vertical="center"/>
    </xf>
    <xf numFmtId="186" fontId="6" fillId="4" borderId="6" xfId="0" applyNumberFormat="1" applyFont="1" applyFill="1" applyBorder="1" applyAlignment="1">
      <alignment horizontal="center" vertical="center"/>
    </xf>
    <xf numFmtId="186" fontId="6" fillId="4" borderId="10" xfId="0" applyNumberFormat="1" applyFont="1" applyFill="1" applyBorder="1" applyAlignment="1">
      <alignment horizontal="center" vertical="center"/>
    </xf>
    <xf numFmtId="186" fontId="6" fillId="4" borderId="79" xfId="0" applyNumberFormat="1" applyFont="1" applyFill="1" applyBorder="1" applyAlignment="1">
      <alignment horizontal="center" vertical="center"/>
    </xf>
    <xf numFmtId="186" fontId="6" fillId="4" borderId="17" xfId="0" applyNumberFormat="1" applyFont="1" applyFill="1" applyBorder="1" applyAlignment="1">
      <alignment horizontal="center" vertical="center"/>
    </xf>
    <xf numFmtId="186" fontId="6" fillId="4" borderId="70" xfId="0" applyNumberFormat="1" applyFont="1" applyFill="1" applyBorder="1" applyAlignment="1">
      <alignment horizontal="center" vertical="center"/>
    </xf>
    <xf numFmtId="186" fontId="5" fillId="4" borderId="1" xfId="0" applyNumberFormat="1" applyFont="1" applyFill="1" applyBorder="1" applyAlignment="1">
      <alignment horizontal="center" vertical="center"/>
    </xf>
    <xf numFmtId="186" fontId="5" fillId="4" borderId="5" xfId="0" applyNumberFormat="1" applyFont="1" applyFill="1" applyBorder="1" applyAlignment="1">
      <alignment horizontal="center" vertical="center"/>
    </xf>
    <xf numFmtId="186" fontId="5" fillId="4" borderId="9" xfId="0" applyNumberFormat="1" applyFont="1" applyFill="1" applyBorder="1" applyAlignment="1">
      <alignment horizontal="center" vertical="center"/>
    </xf>
    <xf numFmtId="186" fontId="5" fillId="3" borderId="1" xfId="0" applyNumberFormat="1" applyFont="1" applyFill="1" applyBorder="1" applyAlignment="1">
      <alignment horizontal="center" vertical="center"/>
    </xf>
    <xf numFmtId="186" fontId="5" fillId="3" borderId="5" xfId="0" applyNumberFormat="1" applyFont="1" applyFill="1" applyBorder="1" applyAlignment="1">
      <alignment horizontal="center" vertical="center"/>
    </xf>
    <xf numFmtId="186" fontId="5" fillId="3" borderId="9" xfId="0" applyNumberFormat="1" applyFont="1" applyFill="1" applyBorder="1" applyAlignment="1">
      <alignment horizontal="center" vertical="center"/>
    </xf>
    <xf numFmtId="186" fontId="6" fillId="4" borderId="1" xfId="0" applyNumberFormat="1" applyFont="1" applyFill="1" applyBorder="1" applyAlignment="1">
      <alignment horizontal="center" vertical="center"/>
    </xf>
    <xf numFmtId="186" fontId="6" fillId="4" borderId="5" xfId="0" applyNumberFormat="1" applyFont="1" applyFill="1" applyBorder="1" applyAlignment="1">
      <alignment horizontal="center" vertical="center"/>
    </xf>
    <xf numFmtId="186" fontId="6" fillId="4" borderId="9" xfId="0" applyNumberFormat="1" applyFont="1" applyFill="1" applyBorder="1" applyAlignment="1">
      <alignment horizontal="center" vertical="center"/>
    </xf>
    <xf numFmtId="186" fontId="5" fillId="3" borderId="2" xfId="0" applyNumberFormat="1" applyFont="1" applyFill="1" applyBorder="1" applyAlignment="1">
      <alignment horizontal="center" vertical="center"/>
    </xf>
    <xf numFmtId="186" fontId="5" fillId="3" borderId="6" xfId="0" applyNumberFormat="1" applyFont="1" applyFill="1" applyBorder="1" applyAlignment="1">
      <alignment horizontal="center" vertical="center"/>
    </xf>
    <xf numFmtId="186" fontId="5" fillId="3" borderId="10" xfId="0" applyNumberFormat="1" applyFont="1" applyFill="1" applyBorder="1" applyAlignment="1">
      <alignment horizontal="center" vertical="center"/>
    </xf>
    <xf numFmtId="186" fontId="5" fillId="3" borderId="4" xfId="0" applyNumberFormat="1" applyFont="1" applyFill="1" applyBorder="1" applyAlignment="1">
      <alignment horizontal="center" vertical="center"/>
    </xf>
    <xf numFmtId="186" fontId="5" fillId="3" borderId="7" xfId="0" applyNumberFormat="1" applyFont="1" applyFill="1" applyBorder="1" applyAlignment="1">
      <alignment horizontal="center" vertical="center"/>
    </xf>
    <xf numFmtId="186" fontId="5" fillId="3" borderId="12" xfId="0" applyNumberFormat="1" applyFont="1" applyFill="1" applyBorder="1" applyAlignment="1">
      <alignment horizontal="center" vertical="center"/>
    </xf>
    <xf numFmtId="186" fontId="5" fillId="4" borderId="2" xfId="0" applyNumberFormat="1" applyFont="1" applyFill="1" applyBorder="1" applyAlignment="1">
      <alignment horizontal="center" vertical="center"/>
    </xf>
    <xf numFmtId="186" fontId="5" fillId="4" borderId="6" xfId="0" applyNumberFormat="1" applyFont="1" applyFill="1" applyBorder="1" applyAlignment="1">
      <alignment horizontal="center" vertical="center"/>
    </xf>
    <xf numFmtId="186" fontId="5" fillId="4" borderId="10" xfId="0" applyNumberFormat="1" applyFont="1" applyFill="1" applyBorder="1" applyAlignment="1">
      <alignment horizontal="center" vertical="center"/>
    </xf>
    <xf numFmtId="186" fontId="5" fillId="4" borderId="3" xfId="0" applyNumberFormat="1" applyFont="1" applyFill="1" applyBorder="1" applyAlignment="1">
      <alignment horizontal="center" vertical="center"/>
    </xf>
    <xf numFmtId="186" fontId="5" fillId="4" borderId="0" xfId="0" applyNumberFormat="1" applyFont="1" applyFill="1" applyAlignment="1">
      <alignment horizontal="center" vertical="center"/>
    </xf>
    <xf numFmtId="186" fontId="5" fillId="4" borderId="11" xfId="0" applyNumberFormat="1" applyFont="1" applyFill="1" applyBorder="1" applyAlignment="1">
      <alignment horizontal="center" vertical="center"/>
    </xf>
    <xf numFmtId="186" fontId="5" fillId="4" borderId="4" xfId="0" applyNumberFormat="1" applyFont="1" applyFill="1" applyBorder="1" applyAlignment="1">
      <alignment horizontal="center" vertical="center"/>
    </xf>
    <xf numFmtId="186" fontId="5" fillId="4" borderId="7" xfId="0" applyNumberFormat="1" applyFont="1" applyFill="1" applyBorder="1" applyAlignment="1">
      <alignment horizontal="center" vertical="center"/>
    </xf>
    <xf numFmtId="186" fontId="5" fillId="4" borderId="12" xfId="0" applyNumberFormat="1" applyFont="1" applyFill="1" applyBorder="1" applyAlignment="1">
      <alignment horizontal="center" vertical="center"/>
    </xf>
    <xf numFmtId="55" fontId="6" fillId="0" borderId="1" xfId="0" applyNumberFormat="1" applyFont="1" applyBorder="1" applyAlignment="1">
      <alignment horizontal="center" vertical="center"/>
    </xf>
    <xf numFmtId="55" fontId="6" fillId="0" borderId="5" xfId="0" applyNumberFormat="1" applyFont="1" applyBorder="1" applyAlignment="1">
      <alignment horizontal="center" vertical="center"/>
    </xf>
    <xf numFmtId="55" fontId="6" fillId="0" borderId="9" xfId="0" applyNumberFormat="1" applyFont="1" applyBorder="1" applyAlignment="1">
      <alignment horizontal="center" vertical="center"/>
    </xf>
    <xf numFmtId="186" fontId="5" fillId="4" borderId="2" xfId="0" applyNumberFormat="1" applyFont="1" applyFill="1" applyBorder="1" applyAlignment="1">
      <alignment horizontal="center" vertical="center" wrapText="1"/>
    </xf>
    <xf numFmtId="186" fontId="5" fillId="4" borderId="6" xfId="0" applyNumberFormat="1" applyFont="1" applyFill="1" applyBorder="1" applyAlignment="1">
      <alignment horizontal="center" vertical="center" wrapText="1"/>
    </xf>
    <xf numFmtId="186" fontId="5" fillId="4" borderId="10" xfId="0" applyNumberFormat="1" applyFont="1" applyFill="1" applyBorder="1" applyAlignment="1">
      <alignment horizontal="center" vertical="center" wrapText="1"/>
    </xf>
    <xf numFmtId="186" fontId="5" fillId="4" borderId="3" xfId="0" applyNumberFormat="1" applyFont="1" applyFill="1" applyBorder="1" applyAlignment="1">
      <alignment horizontal="center" vertical="center" wrapText="1"/>
    </xf>
    <xf numFmtId="186" fontId="5" fillId="4" borderId="0" xfId="0" applyNumberFormat="1" applyFont="1" applyFill="1" applyAlignment="1">
      <alignment horizontal="center" vertical="center" wrapText="1"/>
    </xf>
    <xf numFmtId="186" fontId="5" fillId="4" borderId="11" xfId="0" applyNumberFormat="1" applyFont="1" applyFill="1" applyBorder="1" applyAlignment="1">
      <alignment horizontal="center" vertical="center" wrapText="1"/>
    </xf>
    <xf numFmtId="186" fontId="5" fillId="4" borderId="4" xfId="0" applyNumberFormat="1" applyFont="1" applyFill="1" applyBorder="1" applyAlignment="1">
      <alignment horizontal="center" vertical="center" wrapText="1"/>
    </xf>
    <xf numFmtId="186" fontId="5" fillId="4" borderId="7" xfId="0" applyNumberFormat="1" applyFont="1" applyFill="1" applyBorder="1" applyAlignment="1">
      <alignment horizontal="center" vertical="center" wrapText="1"/>
    </xf>
    <xf numFmtId="186" fontId="5" fillId="4" borderId="12" xfId="0" applyNumberFormat="1" applyFont="1" applyFill="1" applyBorder="1" applyAlignment="1">
      <alignment horizontal="center" vertical="center" wrapText="1"/>
    </xf>
    <xf numFmtId="186" fontId="5" fillId="3" borderId="2" xfId="0" applyNumberFormat="1" applyFont="1" applyFill="1" applyBorder="1" applyAlignment="1">
      <alignment horizontal="center" vertical="center" wrapText="1"/>
    </xf>
    <xf numFmtId="186" fontId="5" fillId="3" borderId="6" xfId="0" applyNumberFormat="1" applyFont="1" applyFill="1" applyBorder="1" applyAlignment="1">
      <alignment horizontal="center" vertical="center" wrapText="1"/>
    </xf>
    <xf numFmtId="186" fontId="5" fillId="3" borderId="10" xfId="0" applyNumberFormat="1" applyFont="1" applyFill="1" applyBorder="1" applyAlignment="1">
      <alignment horizontal="center" vertical="center" wrapText="1"/>
    </xf>
    <xf numFmtId="186" fontId="5" fillId="3" borderId="3" xfId="0" applyNumberFormat="1" applyFont="1" applyFill="1" applyBorder="1" applyAlignment="1">
      <alignment horizontal="center" vertical="center" wrapText="1"/>
    </xf>
    <xf numFmtId="186" fontId="5" fillId="3" borderId="0" xfId="0" applyNumberFormat="1" applyFont="1" applyFill="1" applyAlignment="1">
      <alignment horizontal="center" vertical="center" wrapText="1"/>
    </xf>
    <xf numFmtId="186" fontId="5" fillId="3" borderId="11" xfId="0" applyNumberFormat="1" applyFont="1" applyFill="1" applyBorder="1" applyAlignment="1">
      <alignment horizontal="center" vertical="center" wrapText="1"/>
    </xf>
    <xf numFmtId="186" fontId="5" fillId="3" borderId="4" xfId="0" applyNumberFormat="1" applyFont="1" applyFill="1" applyBorder="1" applyAlignment="1">
      <alignment horizontal="center" vertical="center" wrapText="1"/>
    </xf>
    <xf numFmtId="186" fontId="5" fillId="3" borderId="7" xfId="0" applyNumberFormat="1" applyFont="1" applyFill="1" applyBorder="1" applyAlignment="1">
      <alignment horizontal="center" vertical="center" wrapText="1"/>
    </xf>
    <xf numFmtId="186" fontId="5" fillId="3" borderId="12" xfId="0" applyNumberFormat="1" applyFont="1" applyFill="1" applyBorder="1" applyAlignment="1">
      <alignment horizontal="center" vertical="center" wrapText="1"/>
    </xf>
    <xf numFmtId="186" fontId="5" fillId="3" borderId="3" xfId="0" applyNumberFormat="1" applyFont="1" applyFill="1" applyBorder="1" applyAlignment="1">
      <alignment horizontal="center" vertical="center"/>
    </xf>
    <xf numFmtId="186" fontId="5" fillId="3" borderId="0" xfId="0" applyNumberFormat="1" applyFont="1" applyFill="1" applyAlignment="1">
      <alignment horizontal="center" vertical="center"/>
    </xf>
    <xf numFmtId="186" fontId="5" fillId="3" borderId="11" xfId="0" applyNumberFormat="1" applyFont="1" applyFill="1" applyBorder="1" applyAlignment="1">
      <alignment horizontal="center" vertical="center"/>
    </xf>
    <xf numFmtId="186" fontId="6" fillId="3" borderId="19" xfId="0" applyNumberFormat="1" applyFont="1" applyFill="1" applyBorder="1" applyAlignment="1">
      <alignment horizontal="center" vertical="center"/>
    </xf>
    <xf numFmtId="0" fontId="11" fillId="2" borderId="5" xfId="0" applyFont="1" applyFill="1" applyBorder="1" applyAlignment="1">
      <alignment horizontal="center" vertical="center"/>
    </xf>
    <xf numFmtId="0" fontId="11" fillId="2" borderId="9" xfId="0" applyFont="1" applyFill="1" applyBorder="1" applyAlignment="1">
      <alignment horizontal="center" vertical="center"/>
    </xf>
    <xf numFmtId="192" fontId="5" fillId="0" borderId="0" xfId="0" applyNumberFormat="1" applyFont="1" applyAlignment="1">
      <alignment horizontal="right" vertical="center" wrapText="1"/>
    </xf>
    <xf numFmtId="0" fontId="12" fillId="0" borderId="0" xfId="0" applyFont="1" applyBorder="1" applyAlignment="1" applyProtection="1">
      <alignment horizontal="left"/>
    </xf>
    <xf numFmtId="0" fontId="12" fillId="0" borderId="0" xfId="0" applyFont="1" applyBorder="1" applyAlignment="1" applyProtection="1">
      <alignment horizontal="left" vertical="top"/>
    </xf>
  </cellXfs>
  <cellStyles count="3">
    <cellStyle name="パーセント" xfId="1" builtinId="5"/>
    <cellStyle name="標準" xfId="0" builtinId="0"/>
    <cellStyle name="標準 2" xfId="2" xr:uid="{B948F856-66AA-457B-8D86-5592A66DBCFD}"/>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9DF04-049E-4544-A86F-977C31197292}">
  <sheetPr>
    <tabColor rgb="FFFFFF00"/>
    <outlinePr summaryRight="0"/>
  </sheetPr>
  <dimension ref="A1:AB545"/>
  <sheetViews>
    <sheetView tabSelected="1" view="pageBreakPreview" zoomScale="110" zoomScaleNormal="110" zoomScaleSheetLayoutView="110" workbookViewId="0">
      <selection activeCell="AD10" sqref="AD10"/>
    </sheetView>
  </sheetViews>
  <sheetFormatPr defaultRowHeight="13.5" x14ac:dyDescent="0.15"/>
  <cols>
    <col min="1" max="1" width="1" style="1" customWidth="1"/>
    <col min="2" max="4" width="3.625" style="1" customWidth="1"/>
    <col min="5" max="5" width="3.625" style="20" hidden="1" customWidth="1"/>
    <col min="6" max="27" width="3.625" style="1" customWidth="1"/>
    <col min="28" max="28" width="1" style="1" customWidth="1"/>
    <col min="29" max="16384" width="9" style="1"/>
  </cols>
  <sheetData>
    <row r="1" spans="1:28" x14ac:dyDescent="0.15">
      <c r="B1" s="9" t="s">
        <v>73</v>
      </c>
    </row>
    <row r="2" spans="1:28" ht="30.75" customHeight="1" x14ac:dyDescent="0.15">
      <c r="B2" s="912" t="s">
        <v>152</v>
      </c>
      <c r="C2" s="912"/>
      <c r="D2" s="912"/>
      <c r="E2" s="912"/>
      <c r="F2" s="912"/>
      <c r="G2" s="912"/>
      <c r="H2" s="912"/>
      <c r="I2" s="912"/>
      <c r="J2" s="912"/>
      <c r="K2" s="912"/>
      <c r="L2" s="912"/>
      <c r="M2" s="912"/>
      <c r="N2" s="912"/>
      <c r="O2" s="912"/>
      <c r="P2" s="912"/>
      <c r="Q2" s="912"/>
      <c r="R2" s="912"/>
      <c r="S2" s="912"/>
      <c r="T2" s="912"/>
      <c r="U2" s="912"/>
      <c r="V2" s="912"/>
      <c r="W2" s="912"/>
      <c r="X2" s="912"/>
      <c r="Y2" s="912"/>
      <c r="Z2" s="912"/>
      <c r="AA2" s="912"/>
    </row>
    <row r="3" spans="1:28" ht="17.25" customHeight="1" x14ac:dyDescent="0.15">
      <c r="B3" s="75"/>
      <c r="C3" s="75"/>
      <c r="D3" s="75"/>
      <c r="E3" s="75"/>
      <c r="F3" s="75"/>
      <c r="G3" s="75"/>
      <c r="H3" s="75"/>
      <c r="I3" s="75"/>
      <c r="J3" s="75"/>
      <c r="K3" s="75"/>
      <c r="L3" s="75"/>
      <c r="M3" s="75"/>
      <c r="N3" s="75"/>
      <c r="O3" s="75"/>
      <c r="P3" s="75"/>
      <c r="Q3" s="75"/>
      <c r="R3" s="75"/>
      <c r="S3" s="75"/>
      <c r="T3" s="75"/>
      <c r="U3" s="75"/>
      <c r="V3" s="75"/>
      <c r="W3" s="75"/>
      <c r="X3" s="75"/>
      <c r="Y3" s="75"/>
      <c r="Z3" s="75"/>
      <c r="AA3" s="75"/>
    </row>
    <row r="4" spans="1:28" s="3" customFormat="1" ht="30.75" customHeight="1" x14ac:dyDescent="0.15">
      <c r="A4" s="80"/>
      <c r="B4" s="278" t="s">
        <v>239</v>
      </c>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82"/>
    </row>
    <row r="5" spans="1:28" s="3" customFormat="1" ht="17.25" customHeight="1" x14ac:dyDescent="0.15">
      <c r="A5" s="114"/>
      <c r="B5" s="115"/>
      <c r="C5" s="116"/>
      <c r="D5" s="116"/>
      <c r="E5" s="116"/>
      <c r="F5" s="116"/>
      <c r="G5" s="116"/>
      <c r="H5" s="116"/>
      <c r="I5" s="116"/>
      <c r="J5" s="116"/>
      <c r="K5" s="116"/>
      <c r="L5" s="116"/>
      <c r="M5" s="116"/>
      <c r="N5" s="116"/>
      <c r="O5" s="116"/>
      <c r="P5" s="126" t="e">
        <f>TEXT(DATE(YEAR($X$27)-5,MONTH($X$27),DAY($X$27)),"ggge年")</f>
        <v>#VALUE!</v>
      </c>
      <c r="Q5" s="127"/>
      <c r="R5" s="126" t="e">
        <f>TEXT(DATE(YEAR($X$27)-5,MONTH($X$27),DAY($X$27)),"ggge")</f>
        <v>#VALUE!</v>
      </c>
      <c r="S5" s="127"/>
      <c r="T5" s="126" t="e">
        <f>TEXT(DATE(YEAR($X$27)-5,MONTH($X$27),DAY($X$27)),"e年")</f>
        <v>#VALUE!</v>
      </c>
      <c r="U5" s="126" t="e">
        <f>TEXT(DATE(YEAR($X$27)-15,MONTH($X$27),DAY($X$27)),"ggge年")</f>
        <v>#VALUE!</v>
      </c>
      <c r="V5" s="127"/>
      <c r="W5" s="128" t="e">
        <f>TEXT(DATE(YEAR($X$27)-15,MONTH($X$27),DAY($X$27)),"ggge")</f>
        <v>#VALUE!</v>
      </c>
      <c r="X5" s="127"/>
      <c r="Y5" s="128" t="e">
        <f>TEXT(DATE(YEAR($X$27)-15,MONTH($X$27),DAY($X$27)),"e年")</f>
        <v>#VALUE!</v>
      </c>
      <c r="Z5" s="36"/>
      <c r="AA5" s="116"/>
      <c r="AB5" s="123"/>
    </row>
    <row r="6" spans="1:28" s="3" customFormat="1" ht="27" customHeight="1" x14ac:dyDescent="0.15">
      <c r="A6" s="114"/>
      <c r="B6" s="868" t="s">
        <v>206</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123"/>
    </row>
    <row r="7" spans="1:28" s="3" customFormat="1" ht="27" customHeight="1" x14ac:dyDescent="0.15">
      <c r="A7" s="114"/>
      <c r="B7" s="124"/>
      <c r="C7" s="1507" t="str">
        <f>IF(G23="","右の日付、企業名等には、下の青色着色欄の入力内容が反映","")</f>
        <v>右の日付、企業名等には、下の青色着色欄の入力内容が反映</v>
      </c>
      <c r="D7" s="124"/>
      <c r="E7" s="124"/>
      <c r="F7" s="124"/>
      <c r="G7" s="124"/>
      <c r="H7" s="124"/>
      <c r="I7" s="124"/>
      <c r="J7" s="124"/>
      <c r="K7" s="124"/>
      <c r="L7" s="124"/>
      <c r="M7" s="124"/>
      <c r="N7" s="124"/>
      <c r="O7" s="124"/>
      <c r="P7" s="124"/>
      <c r="S7" s="124"/>
      <c r="T7" s="923" t="str">
        <f>IF(W20="","日付",W20)</f>
        <v>日付</v>
      </c>
      <c r="U7" s="923"/>
      <c r="V7" s="923"/>
      <c r="W7" s="923"/>
      <c r="X7" s="923"/>
      <c r="Y7" s="923"/>
      <c r="Z7" s="923"/>
      <c r="AA7" s="124"/>
      <c r="AB7" s="123"/>
    </row>
    <row r="8" spans="1:28" s="3" customFormat="1" ht="27" customHeight="1" x14ac:dyDescent="0.15">
      <c r="A8" s="114"/>
      <c r="B8" s="115"/>
      <c r="C8" s="1508" t="str">
        <f>IF(G23="","されますので、ここでの入力は不要です。","")</f>
        <v>されますので、ここでの入力は不要です。</v>
      </c>
      <c r="D8" s="116"/>
      <c r="E8" s="116"/>
      <c r="F8" s="116"/>
      <c r="G8" s="116"/>
      <c r="H8" s="116"/>
      <c r="I8" s="116"/>
      <c r="J8" s="116"/>
      <c r="K8" s="116"/>
      <c r="L8" s="116"/>
      <c r="M8" s="116"/>
      <c r="N8" s="116"/>
      <c r="O8" s="116"/>
      <c r="P8" s="116"/>
      <c r="Q8" s="116"/>
      <c r="S8" s="115" t="str">
        <f>IF(G23="","企業名",G23)</f>
        <v>企業名</v>
      </c>
      <c r="T8" s="167"/>
      <c r="U8" s="167"/>
      <c r="V8" s="167"/>
      <c r="W8" s="167"/>
      <c r="X8" s="167"/>
      <c r="Y8" s="167"/>
      <c r="Z8" s="167"/>
      <c r="AA8" s="167"/>
      <c r="AB8" s="123"/>
    </row>
    <row r="9" spans="1:28" s="3" customFormat="1" ht="22.5" customHeight="1" x14ac:dyDescent="0.15">
      <c r="A9" s="114"/>
      <c r="B9" s="115"/>
      <c r="C9" s="116"/>
      <c r="D9" s="116"/>
      <c r="E9" s="116"/>
      <c r="F9" s="116"/>
      <c r="G9" s="116"/>
      <c r="H9" s="116"/>
      <c r="I9" s="116"/>
      <c r="J9" s="116"/>
      <c r="K9" s="116"/>
      <c r="L9" s="116"/>
      <c r="M9" s="116"/>
      <c r="N9" s="116"/>
      <c r="O9" s="116"/>
      <c r="P9" s="116"/>
      <c r="Q9" s="116"/>
      <c r="S9" s="168" t="str">
        <f>IF(W23="","代表者職名",W23)</f>
        <v>代表者職名</v>
      </c>
      <c r="U9" s="168"/>
      <c r="V9" s="168"/>
      <c r="W9" s="168"/>
      <c r="X9" s="168" t="str">
        <f>IF(W24="","代表者氏名",W24)</f>
        <v>代表者氏名</v>
      </c>
      <c r="Y9" s="168"/>
      <c r="Z9" s="168"/>
      <c r="AA9" s="168"/>
      <c r="AB9" s="123"/>
    </row>
    <row r="10" spans="1:28" s="3" customFormat="1" ht="22.5" customHeight="1" x14ac:dyDescent="0.15">
      <c r="A10" s="114"/>
      <c r="B10" s="115" t="s">
        <v>81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23"/>
    </row>
    <row r="11" spans="1:28" s="3" customFormat="1" ht="22.5" customHeight="1" x14ac:dyDescent="0.15">
      <c r="A11" s="114"/>
      <c r="B11" s="115" t="s">
        <v>83</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23"/>
    </row>
    <row r="12" spans="1:28" s="3" customFormat="1" ht="22.5" customHeight="1" x14ac:dyDescent="0.15">
      <c r="A12" s="114"/>
      <c r="B12" s="115" t="s">
        <v>84</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23"/>
    </row>
    <row r="13" spans="1:28" s="3" customFormat="1" ht="22.5" customHeight="1" x14ac:dyDescent="0.15">
      <c r="A13" s="114"/>
      <c r="B13" s="115" t="s">
        <v>85</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23"/>
    </row>
    <row r="14" spans="1:28" s="3" customFormat="1" ht="22.5" customHeight="1" x14ac:dyDescent="0.15">
      <c r="A14" s="83"/>
      <c r="B14" s="125" t="s">
        <v>123</v>
      </c>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85"/>
    </row>
    <row r="15" spans="1:28" s="3" customFormat="1" ht="17.25" customHeight="1" x14ac:dyDescent="0.15">
      <c r="C15" s="34"/>
      <c r="D15" s="34"/>
      <c r="G15" s="112"/>
      <c r="H15" s="112"/>
      <c r="I15" s="112"/>
      <c r="J15" s="112"/>
      <c r="K15" s="112"/>
      <c r="L15" s="112"/>
      <c r="M15" s="112"/>
      <c r="N15" s="90"/>
      <c r="O15" s="90"/>
      <c r="P15" s="49"/>
      <c r="Q15" s="90"/>
      <c r="R15" s="49" t="str">
        <f>TEXT(DATE(YEAR($I$27)-9,MONTH($I$27),DAY($I$27)),"ggge年")</f>
        <v>令和1772年</v>
      </c>
      <c r="S15" s="91" t="str">
        <f>TEXT(DATE(YEAR($I$27)-9,MONTH($I$27),DAY($I$27)),"ggge")</f>
        <v>令和1772</v>
      </c>
      <c r="T15" s="91" t="str">
        <f>TEXT(DATE(YEAR($I$27)-9,MONTH($I$27),DAY($I$27)),"e年")</f>
        <v>1772年</v>
      </c>
      <c r="U15" s="112"/>
      <c r="V15" s="142"/>
      <c r="W15" s="112"/>
      <c r="X15" s="142"/>
      <c r="Y15" s="112"/>
      <c r="Z15" s="112"/>
      <c r="AA15" s="143"/>
    </row>
    <row r="16" spans="1:28" s="3" customFormat="1" ht="17.25" customHeight="1" x14ac:dyDescent="0.15">
      <c r="C16" s="34"/>
      <c r="D16" s="34"/>
      <c r="G16" s="112"/>
      <c r="I16" s="112"/>
      <c r="K16" s="1"/>
      <c r="L16" s="112"/>
      <c r="M16" s="112"/>
      <c r="N16" s="90"/>
      <c r="O16" s="49" t="str">
        <f>TEXT(I27,"ggge年")</f>
        <v>明治33年</v>
      </c>
      <c r="P16" s="49" t="str">
        <f>TEXT(I27,"ggge")</f>
        <v>明治33</v>
      </c>
      <c r="Q16" s="49" t="str">
        <f>TEXT(I27,"e年")</f>
        <v>33年</v>
      </c>
      <c r="R16" s="49" t="str">
        <f>TEXT(DATE(YEAR($I$27)-10,MONTH($I$27),DAY($I$27)),"ggge年")</f>
        <v>令和1771年</v>
      </c>
      <c r="S16" s="91" t="str">
        <f>TEXT(DATE(YEAR($I$27)-10,MONTH($I$27),DAY($I$27)),"ggge")</f>
        <v>令和1771</v>
      </c>
      <c r="T16" s="91" t="str">
        <f>TEXT(DATE(YEAR($I$27)-10,MONTH($I$27),DAY($I$27)),"e年")</f>
        <v>1771年</v>
      </c>
      <c r="U16" s="112"/>
      <c r="V16" s="142"/>
      <c r="W16" s="112"/>
      <c r="X16" s="142"/>
      <c r="Y16" s="112"/>
      <c r="Z16" s="112"/>
      <c r="AA16" s="143"/>
    </row>
    <row r="17" spans="2:27" s="3" customFormat="1" ht="17.25" customHeight="1" x14ac:dyDescent="0.15">
      <c r="C17" s="34"/>
      <c r="D17" s="34"/>
      <c r="G17" s="112"/>
      <c r="H17" s="112"/>
      <c r="I17" s="112"/>
      <c r="J17" s="112"/>
      <c r="K17" s="112"/>
      <c r="L17" s="112"/>
      <c r="M17" s="112"/>
      <c r="N17" s="90"/>
      <c r="O17" s="49" t="str">
        <f>TEXT(DATE(YEAR($I$27)-1,MONTH($I$27),DAY($I$27)),"ggge年")</f>
        <v>令和1780年</v>
      </c>
      <c r="P17" s="49" t="str">
        <f>TEXT(DATE(YEAR($I$27)-1,MONTH($I$27),DAY($I$27)),"ggge")</f>
        <v>令和1780</v>
      </c>
      <c r="Q17" s="49" t="str">
        <f>TEXT(DATE(YEAR($I$27)-1,MONTH($I$27),DAY($I$27)),"e年")</f>
        <v>1780年</v>
      </c>
      <c r="R17" s="49" t="str">
        <f>TEXT(DATE(YEAR($I$27)-11,MONTH($I$27),DAY($I$27)),"ggge年")</f>
        <v>令和1770年</v>
      </c>
      <c r="S17" s="91" t="str">
        <f>TEXT(DATE(YEAR($I$27)-11,MONTH($I$27),DAY($I$27)),"ggge")</f>
        <v>令和1770</v>
      </c>
      <c r="T17" s="91" t="str">
        <f>TEXT(DATE(YEAR($I$27)-11,MONTH($I$27),DAY($I$27)),"e年")</f>
        <v>1770年</v>
      </c>
      <c r="U17" s="112"/>
      <c r="V17" s="142"/>
      <c r="W17" s="112"/>
      <c r="X17" s="142"/>
      <c r="Y17" s="112"/>
      <c r="Z17" s="112"/>
      <c r="AA17" s="143"/>
    </row>
    <row r="18" spans="2:27" s="3" customFormat="1" ht="17.25" customHeight="1" x14ac:dyDescent="0.15">
      <c r="C18" s="34"/>
      <c r="D18" s="34"/>
      <c r="G18" s="112"/>
      <c r="H18" s="112"/>
      <c r="I18" s="112"/>
      <c r="J18" s="112"/>
      <c r="K18" s="112"/>
      <c r="L18" s="112"/>
      <c r="M18" s="112"/>
      <c r="N18" s="90"/>
      <c r="O18" s="49" t="str">
        <f>TEXT(DATE(YEAR($I$27)-2,MONTH($I$27),DAY($I$27)),"ggge年")</f>
        <v>令和1779年</v>
      </c>
      <c r="P18" s="49" t="str">
        <f>TEXT(DATE(YEAR($I$27)-2,MONTH($I$27),DAY($I$27)),"ggge")</f>
        <v>令和1779</v>
      </c>
      <c r="Q18" s="49" t="str">
        <f>TEXT(DATE(YEAR($I$27)-2,MONTH($I$27),DAY($I$27)),"e年")</f>
        <v>1779年</v>
      </c>
      <c r="R18" s="49" t="str">
        <f>TEXT(DATE(YEAR($I$27)-12,MONTH($I$27),DAY($I$27)),"ggge年")</f>
        <v>令和1769年</v>
      </c>
      <c r="S18" s="91" t="str">
        <f>TEXT(DATE(YEAR($I$27)-12,MONTH($I$27),DAY($I$27)),"ggge")</f>
        <v>令和1769</v>
      </c>
      <c r="T18" s="91" t="str">
        <f>TEXT(DATE(YEAR($I$27)-12,MONTH($I$27),DAY($I$27)),"e年")</f>
        <v>1769年</v>
      </c>
      <c r="U18" s="112"/>
      <c r="V18" s="142"/>
      <c r="W18" s="112"/>
      <c r="X18" s="142"/>
      <c r="Y18" s="112"/>
      <c r="Z18" s="112"/>
      <c r="AA18" s="143"/>
    </row>
    <row r="19" spans="2:27" ht="17.25" customHeight="1" x14ac:dyDescent="0.15">
      <c r="B19" s="50"/>
      <c r="C19" s="162" t="s">
        <v>161</v>
      </c>
      <c r="G19" s="144"/>
      <c r="H19" s="144"/>
      <c r="I19" s="144"/>
      <c r="J19" s="144"/>
      <c r="K19" s="144"/>
      <c r="L19" s="144"/>
      <c r="M19" s="144"/>
      <c r="N19" s="153"/>
      <c r="O19" s="49" t="str">
        <f>TEXT(DATE(YEAR($I$27)-3,MONTH($I$27),DAY($I$27)),"ggge年")</f>
        <v>令和1778年</v>
      </c>
      <c r="P19" s="49" t="str">
        <f>TEXT(DATE(YEAR($I$27)-3,MONTH($I$27),DAY($I$27)),"ggge")</f>
        <v>令和1778</v>
      </c>
      <c r="Q19" s="49" t="str">
        <f>TEXT(DATE(YEAR($I$27)-3,MONTH($I$27),DAY($I$27)),"e年")</f>
        <v>1778年</v>
      </c>
      <c r="R19" s="49" t="str">
        <f>TEXT(DATE(YEAR($I$27)-13,MONTH($I$27),DAY($I$27)),"ggge年")</f>
        <v>令和1768年</v>
      </c>
      <c r="S19" s="91" t="str">
        <f>TEXT(DATE(YEAR($I$27)-13,MONTH($I$27),DAY($I$27)),"ggge")</f>
        <v>令和1768</v>
      </c>
      <c r="T19" s="91" t="str">
        <f>TEXT(DATE(YEAR($I$27)-13,MONTH($I$27),DAY($I$27)),"e年")</f>
        <v>1768年</v>
      </c>
      <c r="U19" s="144"/>
      <c r="V19" s="142"/>
      <c r="W19" s="144"/>
      <c r="X19" s="142"/>
      <c r="Y19" s="144"/>
      <c r="Z19" s="144"/>
      <c r="AA19" s="144"/>
    </row>
    <row r="20" spans="2:27" ht="5.25" customHeight="1" x14ac:dyDescent="0.15">
      <c r="C20" s="163"/>
      <c r="M20" s="144"/>
      <c r="N20" s="153"/>
      <c r="O20" s="49" t="str">
        <f>TEXT(DATE(YEAR($I$27)-4,MONTH($I$27),DAY($I$27)),"ggge年")</f>
        <v>令和1777年</v>
      </c>
      <c r="P20" s="49" t="str">
        <f>TEXT(DATE(YEAR($I$27)-4,MONTH($I$27),DAY($I$27)),"ggge")</f>
        <v>令和1777</v>
      </c>
      <c r="Q20" s="49" t="str">
        <f>TEXT(DATE(YEAR($I$27)-4,MONTH($I$27),DAY($I$27)),"e年")</f>
        <v>1777年</v>
      </c>
      <c r="R20" s="49" t="str">
        <f>TEXT(DATE(YEAR($I$27)-14,MONTH($I$27),DAY($I$27)),"ggge年")</f>
        <v>令和1767年</v>
      </c>
      <c r="S20" s="91" t="str">
        <f>TEXT(DATE(YEAR($I$27)-14,MONTH($I$27),DAY($I$27)),"ggge")</f>
        <v>令和1767</v>
      </c>
      <c r="T20" s="91" t="str">
        <f>TEXT(DATE(YEAR($I$27)-14,MONTH($I$27),DAY($I$27)),"e年")</f>
        <v>1767年</v>
      </c>
      <c r="U20" s="386" t="s">
        <v>75</v>
      </c>
      <c r="V20" s="387"/>
      <c r="W20" s="390"/>
      <c r="X20" s="391"/>
      <c r="Y20" s="391"/>
      <c r="Z20" s="391"/>
      <c r="AA20" s="392"/>
    </row>
    <row r="21" spans="2:27" ht="17.25" customHeight="1" x14ac:dyDescent="0.15">
      <c r="B21" s="51"/>
      <c r="C21" s="164" t="s">
        <v>162</v>
      </c>
      <c r="D21" s="75"/>
      <c r="E21" s="75"/>
      <c r="F21" s="75"/>
      <c r="G21" s="75"/>
      <c r="H21" s="75"/>
      <c r="I21" s="75"/>
      <c r="J21" s="75"/>
      <c r="K21" s="75"/>
      <c r="L21" s="75"/>
      <c r="M21" s="156"/>
      <c r="N21" s="160"/>
      <c r="O21" s="153"/>
      <c r="P21" s="153"/>
      <c r="Q21" s="153"/>
      <c r="R21" s="49" t="str">
        <f>TEXT(DATE(YEAR($I$27)-15,MONTH($I$27),DAY($I$27)),"ggge年")</f>
        <v>令和1766年</v>
      </c>
      <c r="S21" s="91" t="str">
        <f>TEXT(DATE(YEAR($I$27)-15,MONTH($I$27),DAY($I$27)),"ggge")</f>
        <v>令和1766</v>
      </c>
      <c r="T21" s="91" t="str">
        <f>TEXT(DATE(YEAR($I$27)-15,MONTH($I$27),DAY($I$27)),"e年")</f>
        <v>1766年</v>
      </c>
      <c r="U21" s="388"/>
      <c r="V21" s="389"/>
      <c r="W21" s="393"/>
      <c r="X21" s="394"/>
      <c r="Y21" s="394"/>
      <c r="Z21" s="394"/>
      <c r="AA21" s="395"/>
    </row>
    <row r="22" spans="2:27" s="153" customFormat="1" ht="5.25" customHeight="1" x14ac:dyDescent="0.15">
      <c r="B22" s="161"/>
      <c r="C22" s="160"/>
      <c r="D22" s="160"/>
      <c r="E22" s="160"/>
      <c r="F22" s="160"/>
      <c r="G22" s="92" t="s">
        <v>104</v>
      </c>
      <c r="H22" s="92" t="s">
        <v>105</v>
      </c>
      <c r="I22" s="92" t="s">
        <v>64</v>
      </c>
      <c r="J22" s="92" t="s">
        <v>106</v>
      </c>
      <c r="K22" s="92" t="s">
        <v>107</v>
      </c>
      <c r="L22" s="92" t="s">
        <v>108</v>
      </c>
      <c r="M22" s="92" t="s">
        <v>109</v>
      </c>
      <c r="N22" s="92" t="s">
        <v>110</v>
      </c>
      <c r="O22" s="92" t="s">
        <v>111</v>
      </c>
      <c r="P22" s="92" t="s">
        <v>112</v>
      </c>
      <c r="Q22" s="92" t="s">
        <v>113</v>
      </c>
      <c r="R22" s="92" t="s">
        <v>114</v>
      </c>
      <c r="S22" s="92" t="s">
        <v>115</v>
      </c>
      <c r="T22" s="92" t="s">
        <v>116</v>
      </c>
      <c r="U22" s="92" t="s">
        <v>117</v>
      </c>
      <c r="V22" s="92" t="s">
        <v>118</v>
      </c>
      <c r="W22" s="92" t="s">
        <v>119</v>
      </c>
      <c r="X22" s="92"/>
      <c r="Y22" s="92"/>
    </row>
    <row r="23" spans="2:27" ht="22.5" customHeight="1" x14ac:dyDescent="0.15">
      <c r="B23" s="396" t="s">
        <v>44</v>
      </c>
      <c r="C23" s="754"/>
      <c r="D23" s="754"/>
      <c r="E23" s="754"/>
      <c r="F23" s="397"/>
      <c r="G23" s="877"/>
      <c r="H23" s="878"/>
      <c r="I23" s="878"/>
      <c r="J23" s="878"/>
      <c r="K23" s="878"/>
      <c r="L23" s="878"/>
      <c r="M23" s="878"/>
      <c r="N23" s="878"/>
      <c r="O23" s="878"/>
      <c r="P23" s="878"/>
      <c r="Q23" s="878"/>
      <c r="R23" s="692" t="s">
        <v>79</v>
      </c>
      <c r="S23" s="693"/>
      <c r="T23" s="694"/>
      <c r="U23" s="718" t="s">
        <v>92</v>
      </c>
      <c r="V23" s="720"/>
      <c r="W23" s="877"/>
      <c r="X23" s="878"/>
      <c r="Y23" s="878"/>
      <c r="Z23" s="878"/>
      <c r="AA23" s="879"/>
    </row>
    <row r="24" spans="2:27" ht="22.5" customHeight="1" x14ac:dyDescent="0.15">
      <c r="B24" s="396" t="s">
        <v>74</v>
      </c>
      <c r="C24" s="754"/>
      <c r="D24" s="754"/>
      <c r="E24" s="754"/>
      <c r="F24" s="397"/>
      <c r="G24" s="877"/>
      <c r="H24" s="878"/>
      <c r="I24" s="878"/>
      <c r="J24" s="878"/>
      <c r="K24" s="878"/>
      <c r="L24" s="878"/>
      <c r="M24" s="878"/>
      <c r="N24" s="878"/>
      <c r="O24" s="878"/>
      <c r="P24" s="878"/>
      <c r="Q24" s="878"/>
      <c r="R24" s="886"/>
      <c r="S24" s="887"/>
      <c r="T24" s="888"/>
      <c r="U24" s="718" t="s">
        <v>80</v>
      </c>
      <c r="V24" s="720"/>
      <c r="W24" s="877"/>
      <c r="X24" s="878"/>
      <c r="Y24" s="878"/>
      <c r="Z24" s="878"/>
      <c r="AA24" s="879"/>
    </row>
    <row r="25" spans="2:27" s="3" customFormat="1" ht="22.5" customHeight="1" x14ac:dyDescent="0.15">
      <c r="B25" s="892" t="s">
        <v>82</v>
      </c>
      <c r="C25" s="893"/>
      <c r="D25" s="893"/>
      <c r="E25" s="893"/>
      <c r="F25" s="894"/>
      <c r="G25" s="31"/>
      <c r="H25" s="32" t="s">
        <v>38</v>
      </c>
      <c r="I25" s="611"/>
      <c r="J25" s="611"/>
      <c r="K25" s="762" t="s">
        <v>43</v>
      </c>
      <c r="L25" s="899" t="str">
        <f>IF(I25="","",I25+I26)</f>
        <v/>
      </c>
      <c r="M25" s="900"/>
      <c r="N25" s="718" t="s">
        <v>65</v>
      </c>
      <c r="O25" s="719"/>
      <c r="P25" s="719"/>
      <c r="Q25" s="719"/>
      <c r="R25" s="903"/>
      <c r="S25" s="904"/>
      <c r="T25" s="904"/>
      <c r="U25" s="904"/>
      <c r="V25" s="904"/>
      <c r="W25" s="904"/>
      <c r="X25" s="904"/>
      <c r="Y25" s="904"/>
      <c r="Z25" s="904"/>
      <c r="AA25" s="905"/>
    </row>
    <row r="26" spans="2:27" s="3" customFormat="1" ht="22.5" customHeight="1" x14ac:dyDescent="0.15">
      <c r="B26" s="895"/>
      <c r="C26" s="896"/>
      <c r="D26" s="896"/>
      <c r="E26" s="896"/>
      <c r="F26" s="897"/>
      <c r="G26" s="78"/>
      <c r="H26" s="33" t="s">
        <v>37</v>
      </c>
      <c r="I26" s="706"/>
      <c r="J26" s="706"/>
      <c r="K26" s="898"/>
      <c r="L26" s="901"/>
      <c r="M26" s="902"/>
      <c r="N26" s="718" t="s">
        <v>78</v>
      </c>
      <c r="O26" s="719"/>
      <c r="P26" s="719"/>
      <c r="Q26" s="719"/>
      <c r="R26" s="906"/>
      <c r="S26" s="907"/>
      <c r="T26" s="907"/>
      <c r="U26" s="907"/>
      <c r="V26" s="907"/>
      <c r="W26" s="907"/>
      <c r="X26" s="907"/>
      <c r="Y26" s="907"/>
      <c r="Z26" s="907"/>
      <c r="AA26" s="908"/>
    </row>
    <row r="27" spans="2:27" ht="22.5" customHeight="1" x14ac:dyDescent="0.15">
      <c r="B27" s="396" t="s">
        <v>76</v>
      </c>
      <c r="C27" s="754"/>
      <c r="D27" s="754"/>
      <c r="E27" s="754"/>
      <c r="F27" s="397"/>
      <c r="G27" s="396" t="s">
        <v>228</v>
      </c>
      <c r="H27" s="397"/>
      <c r="I27" s="383"/>
      <c r="J27" s="384"/>
      <c r="K27" s="384"/>
      <c r="L27" s="384"/>
      <c r="M27" s="385"/>
      <c r="N27" s="401" t="s">
        <v>229</v>
      </c>
      <c r="O27" s="402"/>
      <c r="P27" s="383"/>
      <c r="Q27" s="384"/>
      <c r="R27" s="384"/>
      <c r="S27" s="384"/>
      <c r="T27" s="385"/>
      <c r="U27" s="132"/>
      <c r="V27" s="132"/>
      <c r="W27" s="77"/>
      <c r="X27" s="139" t="str">
        <f>IF(I27="","",DATEVALUE(_xlfn.CONCAT(I27)))</f>
        <v/>
      </c>
      <c r="Y27" s="139"/>
      <c r="Z27" s="140" t="str">
        <f>IF(X27="","",DATE(YEAR(X27)+1,MONTH(X27),DAY(X27)-1))</f>
        <v/>
      </c>
      <c r="AA27" s="141"/>
    </row>
    <row r="28" spans="2:27" s="3" customFormat="1" ht="22.5" customHeight="1" x14ac:dyDescent="0.15">
      <c r="B28" s="909" t="s">
        <v>223</v>
      </c>
      <c r="C28" s="910"/>
      <c r="D28" s="910"/>
      <c r="E28" s="910"/>
      <c r="F28" s="911"/>
      <c r="G28" s="381" t="s">
        <v>225</v>
      </c>
      <c r="H28" s="382"/>
      <c r="I28" s="383"/>
      <c r="J28" s="384"/>
      <c r="K28" s="384"/>
      <c r="L28" s="384"/>
      <c r="M28" s="385"/>
      <c r="N28" s="381" t="s">
        <v>226</v>
      </c>
      <c r="O28" s="382"/>
      <c r="P28" s="383"/>
      <c r="Q28" s="384"/>
      <c r="R28" s="384"/>
      <c r="S28" s="384"/>
      <c r="T28" s="385"/>
      <c r="U28" s="381" t="s">
        <v>224</v>
      </c>
      <c r="V28" s="382"/>
      <c r="W28" s="383"/>
      <c r="X28" s="384"/>
      <c r="Y28" s="384"/>
      <c r="Z28" s="384"/>
      <c r="AA28" s="385"/>
    </row>
    <row r="29" spans="2:27" s="3" customFormat="1" ht="22.5" customHeight="1" x14ac:dyDescent="0.15">
      <c r="C29" s="34"/>
      <c r="D29" s="34"/>
      <c r="E29" s="34"/>
      <c r="F29" s="34"/>
      <c r="G29" s="37"/>
      <c r="H29" s="37"/>
      <c r="I29" s="37"/>
      <c r="J29" s="37"/>
      <c r="K29" s="37"/>
      <c r="L29" s="37"/>
      <c r="M29" s="37"/>
      <c r="N29" s="37"/>
      <c r="P29" s="37"/>
      <c r="Q29" s="37"/>
      <c r="R29" s="165" t="str">
        <f>IF(G23="","",IF(R25="","上段の産業分類欄は、リストから選択↑ ",IF(AND(R25="製造業",R26=""),"製造業にあっては、中分類も記載↑","")))</f>
        <v/>
      </c>
      <c r="S29" s="37"/>
      <c r="T29" s="37"/>
      <c r="U29" s="37"/>
      <c r="X29" s="13"/>
      <c r="Y29" s="13"/>
      <c r="Z29" s="13"/>
    </row>
    <row r="30" spans="2:27" s="3" customFormat="1" ht="22.5" customHeight="1" x14ac:dyDescent="0.15">
      <c r="B30" s="890" t="s">
        <v>97</v>
      </c>
      <c r="C30" s="762"/>
      <c r="D30" s="762"/>
      <c r="E30" s="762"/>
      <c r="F30" s="762"/>
      <c r="G30" s="762"/>
      <c r="H30" s="891"/>
      <c r="I30" s="877"/>
      <c r="J30" s="878"/>
      <c r="K30" s="878"/>
      <c r="L30" s="878"/>
      <c r="M30" s="879"/>
      <c r="N30" s="166" t="str">
        <f>IF(G23="","",IF(I30=""," ←雇用管理区分の設定欄は、リストから選択",IF(AND(I30="設定あり",Z32="")," ↓名称を記載し、雇用期間～時間外労働欄はリストから選択",IF(AND(I30="設定なし",B55=""),"雇用管理区分の設定がない場合は、下欄の記載は不要です。",""))))</f>
        <v/>
      </c>
      <c r="AA30" s="4"/>
    </row>
    <row r="31" spans="2:27" s="3" customFormat="1" ht="22.5" customHeight="1" x14ac:dyDescent="0.15">
      <c r="B31" s="889" t="s">
        <v>120</v>
      </c>
      <c r="C31" s="889"/>
      <c r="D31" s="889"/>
      <c r="E31" s="889"/>
      <c r="F31" s="889"/>
      <c r="G31" s="889"/>
      <c r="H31" s="889"/>
      <c r="I31" s="129" t="s">
        <v>103</v>
      </c>
      <c r="J31" s="396" t="s">
        <v>98</v>
      </c>
      <c r="K31" s="754"/>
      <c r="L31" s="754"/>
      <c r="M31" s="397"/>
      <c r="N31" s="718" t="s">
        <v>100</v>
      </c>
      <c r="O31" s="719"/>
      <c r="P31" s="719"/>
      <c r="Q31" s="720"/>
      <c r="R31" s="396" t="s">
        <v>99</v>
      </c>
      <c r="S31" s="754"/>
      <c r="T31" s="754"/>
      <c r="U31" s="397"/>
      <c r="V31" s="867" t="s">
        <v>101</v>
      </c>
      <c r="W31" s="867"/>
      <c r="X31" s="867" t="s">
        <v>102</v>
      </c>
      <c r="Y31" s="867"/>
      <c r="Z31" s="889" t="s">
        <v>43</v>
      </c>
      <c r="AA31" s="889"/>
    </row>
    <row r="32" spans="2:27" s="3" customFormat="1" ht="22.5" customHeight="1" x14ac:dyDescent="0.15">
      <c r="B32" s="880" t="s">
        <v>121</v>
      </c>
      <c r="C32" s="877"/>
      <c r="D32" s="878"/>
      <c r="E32" s="878"/>
      <c r="F32" s="878"/>
      <c r="G32" s="878"/>
      <c r="H32" s="879"/>
      <c r="I32" s="38"/>
      <c r="J32" s="903"/>
      <c r="K32" s="904"/>
      <c r="L32" s="904"/>
      <c r="M32" s="905"/>
      <c r="N32" s="877"/>
      <c r="O32" s="878"/>
      <c r="P32" s="878"/>
      <c r="Q32" s="879"/>
      <c r="R32" s="877"/>
      <c r="S32" s="878"/>
      <c r="T32" s="878"/>
      <c r="U32" s="879"/>
      <c r="V32" s="463"/>
      <c r="W32" s="464"/>
      <c r="X32" s="463"/>
      <c r="Y32" s="464"/>
      <c r="Z32" s="875" t="str">
        <f>IF(V32+X32=0,"",V32+X32)</f>
        <v/>
      </c>
      <c r="AA32" s="876"/>
    </row>
    <row r="33" spans="2:27" s="3" customFormat="1" ht="22.5" customHeight="1" x14ac:dyDescent="0.15">
      <c r="B33" s="881"/>
      <c r="C33" s="877"/>
      <c r="D33" s="878"/>
      <c r="E33" s="878"/>
      <c r="F33" s="878"/>
      <c r="G33" s="878"/>
      <c r="H33" s="879"/>
      <c r="I33" s="38"/>
      <c r="J33" s="903"/>
      <c r="K33" s="904"/>
      <c r="L33" s="904"/>
      <c r="M33" s="905"/>
      <c r="N33" s="877"/>
      <c r="O33" s="878"/>
      <c r="P33" s="878"/>
      <c r="Q33" s="879"/>
      <c r="R33" s="945"/>
      <c r="S33" s="946"/>
      <c r="T33" s="946"/>
      <c r="U33" s="947"/>
      <c r="V33" s="463"/>
      <c r="W33" s="464"/>
      <c r="X33" s="463"/>
      <c r="Y33" s="464"/>
      <c r="Z33" s="875" t="str">
        <f t="shared" ref="Z33:Z37" si="0">IF(V33+X33=0,"",V33+X33)</f>
        <v/>
      </c>
      <c r="AA33" s="876"/>
    </row>
    <row r="34" spans="2:27" s="3" customFormat="1" ht="22.5" customHeight="1" x14ac:dyDescent="0.15">
      <c r="B34" s="882"/>
      <c r="C34" s="877"/>
      <c r="D34" s="878"/>
      <c r="E34" s="878"/>
      <c r="F34" s="878"/>
      <c r="G34" s="878"/>
      <c r="H34" s="879"/>
      <c r="I34" s="38"/>
      <c r="J34" s="903"/>
      <c r="K34" s="904"/>
      <c r="L34" s="904"/>
      <c r="M34" s="905"/>
      <c r="N34" s="877"/>
      <c r="O34" s="878"/>
      <c r="P34" s="878"/>
      <c r="Q34" s="879"/>
      <c r="R34" s="877"/>
      <c r="S34" s="878"/>
      <c r="T34" s="878"/>
      <c r="U34" s="879"/>
      <c r="V34" s="463"/>
      <c r="W34" s="464"/>
      <c r="X34" s="463"/>
      <c r="Y34" s="464"/>
      <c r="Z34" s="875" t="str">
        <f t="shared" si="0"/>
        <v/>
      </c>
      <c r="AA34" s="876"/>
    </row>
    <row r="35" spans="2:27" s="3" customFormat="1" ht="22.5" customHeight="1" x14ac:dyDescent="0.15">
      <c r="B35" s="880" t="s">
        <v>122</v>
      </c>
      <c r="C35" s="877"/>
      <c r="D35" s="878"/>
      <c r="E35" s="878"/>
      <c r="F35" s="878"/>
      <c r="G35" s="878"/>
      <c r="H35" s="879"/>
      <c r="I35" s="883"/>
      <c r="J35" s="903"/>
      <c r="K35" s="904"/>
      <c r="L35" s="904"/>
      <c r="M35" s="905"/>
      <c r="N35" s="877"/>
      <c r="O35" s="878"/>
      <c r="P35" s="878"/>
      <c r="Q35" s="879"/>
      <c r="R35" s="877"/>
      <c r="S35" s="878"/>
      <c r="T35" s="878"/>
      <c r="U35" s="879"/>
      <c r="V35" s="463"/>
      <c r="W35" s="464"/>
      <c r="X35" s="463"/>
      <c r="Y35" s="464"/>
      <c r="Z35" s="875" t="str">
        <f t="shared" si="0"/>
        <v/>
      </c>
      <c r="AA35" s="876"/>
    </row>
    <row r="36" spans="2:27" s="3" customFormat="1" ht="22.5" customHeight="1" x14ac:dyDescent="0.15">
      <c r="B36" s="881"/>
      <c r="C36" s="877"/>
      <c r="D36" s="878"/>
      <c r="E36" s="878"/>
      <c r="F36" s="878"/>
      <c r="G36" s="878"/>
      <c r="H36" s="879"/>
      <c r="I36" s="884"/>
      <c r="J36" s="903"/>
      <c r="K36" s="904"/>
      <c r="L36" s="904"/>
      <c r="M36" s="905"/>
      <c r="N36" s="877"/>
      <c r="O36" s="878"/>
      <c r="P36" s="878"/>
      <c r="Q36" s="879"/>
      <c r="R36" s="877"/>
      <c r="S36" s="878"/>
      <c r="T36" s="878"/>
      <c r="U36" s="879"/>
      <c r="V36" s="463"/>
      <c r="W36" s="464"/>
      <c r="X36" s="463"/>
      <c r="Y36" s="464"/>
      <c r="Z36" s="875" t="str">
        <f t="shared" si="0"/>
        <v/>
      </c>
      <c r="AA36" s="876"/>
    </row>
    <row r="37" spans="2:27" s="3" customFormat="1" ht="22.5" customHeight="1" x14ac:dyDescent="0.15">
      <c r="B37" s="882"/>
      <c r="C37" s="877"/>
      <c r="D37" s="878"/>
      <c r="E37" s="878"/>
      <c r="F37" s="878"/>
      <c r="G37" s="878"/>
      <c r="H37" s="879"/>
      <c r="I37" s="885"/>
      <c r="J37" s="903"/>
      <c r="K37" s="904"/>
      <c r="L37" s="904"/>
      <c r="M37" s="905"/>
      <c r="N37" s="877"/>
      <c r="O37" s="878"/>
      <c r="P37" s="878"/>
      <c r="Q37" s="879"/>
      <c r="R37" s="877"/>
      <c r="S37" s="878"/>
      <c r="T37" s="878"/>
      <c r="U37" s="879"/>
      <c r="V37" s="463"/>
      <c r="W37" s="464"/>
      <c r="X37" s="463"/>
      <c r="Y37" s="464"/>
      <c r="Z37" s="875" t="str">
        <f t="shared" si="0"/>
        <v/>
      </c>
      <c r="AA37" s="876"/>
    </row>
    <row r="38" spans="2:27" s="112" customFormat="1" ht="27.75" customHeight="1" x14ac:dyDescent="0.15">
      <c r="B38" s="948" t="s">
        <v>233</v>
      </c>
      <c r="C38" s="949"/>
      <c r="D38" s="949"/>
      <c r="E38" s="949"/>
      <c r="F38" s="949"/>
      <c r="G38" s="949"/>
      <c r="H38" s="949"/>
      <c r="I38" s="949"/>
      <c r="J38" s="949"/>
      <c r="K38" s="949"/>
      <c r="L38" s="949"/>
      <c r="M38" s="949"/>
      <c r="N38" s="949"/>
      <c r="O38" s="949"/>
      <c r="P38" s="949"/>
      <c r="Q38" s="949"/>
      <c r="R38" s="949"/>
      <c r="S38" s="949"/>
      <c r="T38" s="949"/>
      <c r="U38" s="949"/>
      <c r="V38" s="949"/>
      <c r="W38" s="949"/>
      <c r="X38" s="949"/>
      <c r="Y38" s="949"/>
      <c r="Z38" s="949"/>
      <c r="AA38" s="949"/>
    </row>
    <row r="39" spans="2:27" s="112" customFormat="1" ht="17.25" customHeight="1" x14ac:dyDescent="0.15">
      <c r="B39" s="39"/>
      <c r="C39" s="143"/>
      <c r="D39" s="143"/>
      <c r="U39" s="142"/>
      <c r="W39" s="113"/>
      <c r="Y39" s="113"/>
      <c r="AA39" s="143"/>
    </row>
    <row r="40" spans="2:27" s="36" customFormat="1" ht="22.5" customHeight="1" x14ac:dyDescent="0.15">
      <c r="B40" s="396" t="s">
        <v>94</v>
      </c>
      <c r="C40" s="754"/>
      <c r="D40" s="754"/>
      <c r="E40" s="754"/>
      <c r="F40" s="397"/>
      <c r="G40" s="396" t="s">
        <v>227</v>
      </c>
      <c r="H40" s="397"/>
      <c r="I40" s="877"/>
      <c r="J40" s="878"/>
      <c r="K40" s="878"/>
      <c r="L40" s="878"/>
      <c r="M40" s="879"/>
      <c r="N40" s="396" t="s">
        <v>91</v>
      </c>
      <c r="O40" s="397"/>
      <c r="P40" s="398"/>
      <c r="Q40" s="399"/>
      <c r="R40" s="399"/>
      <c r="S40" s="399"/>
      <c r="T40" s="400"/>
      <c r="U40" s="396" t="s">
        <v>80</v>
      </c>
      <c r="V40" s="397"/>
      <c r="W40" s="398"/>
      <c r="X40" s="399"/>
      <c r="Y40" s="399"/>
      <c r="Z40" s="399"/>
      <c r="AA40" s="400"/>
    </row>
    <row r="41" spans="2:27" s="36" customFormat="1" ht="22.5" customHeight="1" x14ac:dyDescent="0.15">
      <c r="B41" s="396" t="s">
        <v>95</v>
      </c>
      <c r="C41" s="754"/>
      <c r="D41" s="754"/>
      <c r="E41" s="754"/>
      <c r="F41" s="397"/>
      <c r="G41" s="396" t="s">
        <v>96</v>
      </c>
      <c r="H41" s="397"/>
      <c r="I41" s="877"/>
      <c r="J41" s="878"/>
      <c r="K41" s="878"/>
      <c r="L41" s="878"/>
      <c r="M41" s="879"/>
      <c r="N41" s="396" t="s">
        <v>93</v>
      </c>
      <c r="O41" s="397"/>
      <c r="P41" s="877"/>
      <c r="Q41" s="878"/>
      <c r="R41" s="878"/>
      <c r="S41" s="878"/>
      <c r="T41" s="878"/>
      <c r="U41" s="878"/>
      <c r="V41" s="878"/>
      <c r="W41" s="878"/>
      <c r="X41" s="878"/>
      <c r="Y41" s="878"/>
      <c r="Z41" s="878"/>
      <c r="AA41" s="879"/>
    </row>
    <row r="42" spans="2:27" s="112" customFormat="1" ht="17.25" customHeight="1" x14ac:dyDescent="0.15">
      <c r="B42" s="40"/>
      <c r="C42" s="143"/>
      <c r="D42" s="143"/>
      <c r="U42" s="143"/>
      <c r="V42" s="143"/>
      <c r="W42" s="143"/>
      <c r="X42" s="143"/>
      <c r="Y42" s="143"/>
      <c r="Z42" s="143"/>
      <c r="AA42" s="143"/>
    </row>
    <row r="43" spans="2:27" ht="30.75" customHeight="1" x14ac:dyDescent="0.15">
      <c r="B43" s="2" t="s">
        <v>154</v>
      </c>
      <c r="H43" s="2"/>
      <c r="AA43" s="169" t="str">
        <f>IF(G$23="","",G$23)</f>
        <v/>
      </c>
    </row>
    <row r="44" spans="2:27" ht="17.25" customHeight="1" x14ac:dyDescent="0.15">
      <c r="B44" s="5" t="s">
        <v>147</v>
      </c>
      <c r="C44" s="6"/>
      <c r="D44" s="6"/>
      <c r="F44" s="6"/>
      <c r="G44" s="6"/>
      <c r="H44" s="6"/>
      <c r="I44" s="6"/>
      <c r="J44" s="6"/>
      <c r="K44" s="6"/>
      <c r="L44" s="6"/>
      <c r="M44" s="6"/>
      <c r="N44" s="6"/>
      <c r="O44" s="6"/>
      <c r="P44" s="6"/>
      <c r="Q44" s="6"/>
      <c r="R44" s="6"/>
      <c r="S44" s="6"/>
      <c r="T44" s="6"/>
      <c r="U44" s="6"/>
      <c r="V44" s="6"/>
      <c r="W44" s="6"/>
      <c r="X44" s="6"/>
      <c r="Y44" s="6"/>
      <c r="Z44" s="6"/>
      <c r="AA44" s="7"/>
    </row>
    <row r="45" spans="2:27" s="3" customFormat="1" ht="17.25" customHeight="1" x14ac:dyDescent="0.15">
      <c r="B45" s="869" t="s">
        <v>124</v>
      </c>
      <c r="C45" s="870"/>
      <c r="D45" s="870"/>
      <c r="E45" s="870"/>
      <c r="F45" s="870"/>
      <c r="G45" s="870"/>
      <c r="H45" s="870"/>
      <c r="I45" s="870"/>
      <c r="J45" s="870"/>
      <c r="K45" s="870"/>
      <c r="L45" s="870"/>
      <c r="M45" s="870"/>
      <c r="N45" s="870"/>
      <c r="O45" s="870"/>
      <c r="P45" s="870"/>
      <c r="Q45" s="870"/>
      <c r="R45" s="870"/>
      <c r="S45" s="870"/>
      <c r="T45" s="870"/>
      <c r="U45" s="870"/>
      <c r="V45" s="870"/>
      <c r="W45" s="870"/>
      <c r="X45" s="870"/>
      <c r="Y45" s="870"/>
      <c r="Z45" s="870"/>
      <c r="AA45" s="871"/>
    </row>
    <row r="46" spans="2:27" s="3" customFormat="1" ht="37.5" customHeight="1" x14ac:dyDescent="0.15">
      <c r="B46" s="872" t="s">
        <v>146</v>
      </c>
      <c r="C46" s="873"/>
      <c r="D46" s="873"/>
      <c r="E46" s="873"/>
      <c r="F46" s="873"/>
      <c r="G46" s="873"/>
      <c r="H46" s="873"/>
      <c r="I46" s="873"/>
      <c r="J46" s="873"/>
      <c r="K46" s="873"/>
      <c r="L46" s="873"/>
      <c r="M46" s="873"/>
      <c r="N46" s="873"/>
      <c r="O46" s="873"/>
      <c r="P46" s="873"/>
      <c r="Q46" s="873"/>
      <c r="R46" s="873"/>
      <c r="S46" s="873"/>
      <c r="T46" s="873"/>
      <c r="U46" s="873"/>
      <c r="V46" s="873"/>
      <c r="W46" s="873"/>
      <c r="X46" s="873"/>
      <c r="Y46" s="873"/>
      <c r="Z46" s="873"/>
      <c r="AA46" s="874"/>
    </row>
    <row r="47" spans="2:27" s="3" customFormat="1" ht="27" customHeight="1" x14ac:dyDescent="0.15">
      <c r="B47" s="872" t="s">
        <v>125</v>
      </c>
      <c r="C47" s="873"/>
      <c r="D47" s="873"/>
      <c r="E47" s="873"/>
      <c r="F47" s="873"/>
      <c r="G47" s="873"/>
      <c r="H47" s="873"/>
      <c r="I47" s="873"/>
      <c r="J47" s="873"/>
      <c r="K47" s="873"/>
      <c r="L47" s="873"/>
      <c r="M47" s="873"/>
      <c r="N47" s="873"/>
      <c r="O47" s="873"/>
      <c r="P47" s="873"/>
      <c r="Q47" s="873"/>
      <c r="R47" s="873"/>
      <c r="S47" s="873"/>
      <c r="T47" s="873"/>
      <c r="U47" s="873"/>
      <c r="V47" s="873"/>
      <c r="W47" s="873"/>
      <c r="X47" s="873"/>
      <c r="Y47" s="873"/>
      <c r="Z47" s="873"/>
      <c r="AA47" s="874"/>
    </row>
    <row r="48" spans="2:27" s="3" customFormat="1" ht="17.25" customHeight="1" x14ac:dyDescent="0.15">
      <c r="B48" s="941" t="s">
        <v>13</v>
      </c>
      <c r="C48" s="873"/>
      <c r="D48" s="873"/>
      <c r="E48" s="873"/>
      <c r="F48" s="873"/>
      <c r="G48" s="873"/>
      <c r="H48" s="873"/>
      <c r="I48" s="873"/>
      <c r="J48" s="873"/>
      <c r="K48" s="873"/>
      <c r="L48" s="873"/>
      <c r="M48" s="873"/>
      <c r="N48" s="873"/>
      <c r="O48" s="873"/>
      <c r="P48" s="873"/>
      <c r="Q48" s="873"/>
      <c r="R48" s="873"/>
      <c r="S48" s="873"/>
      <c r="T48" s="873"/>
      <c r="U48" s="873"/>
      <c r="V48" s="873"/>
      <c r="W48" s="873"/>
      <c r="X48" s="873"/>
      <c r="Y48" s="873"/>
      <c r="Z48" s="873"/>
      <c r="AA48" s="874"/>
    </row>
    <row r="49" spans="2:27" ht="27" customHeight="1" x14ac:dyDescent="0.15">
      <c r="B49" s="942" t="s">
        <v>86</v>
      </c>
      <c r="C49" s="943"/>
      <c r="D49" s="943"/>
      <c r="E49" s="943"/>
      <c r="F49" s="943"/>
      <c r="G49" s="943"/>
      <c r="H49" s="943"/>
      <c r="I49" s="943"/>
      <c r="J49" s="943"/>
      <c r="K49" s="943"/>
      <c r="L49" s="943"/>
      <c r="M49" s="943"/>
      <c r="N49" s="943"/>
      <c r="O49" s="943"/>
      <c r="P49" s="943"/>
      <c r="Q49" s="943"/>
      <c r="R49" s="943"/>
      <c r="S49" s="943"/>
      <c r="T49" s="943"/>
      <c r="U49" s="943"/>
      <c r="V49" s="943"/>
      <c r="W49" s="943"/>
      <c r="X49" s="943"/>
      <c r="Y49" s="943"/>
      <c r="Z49" s="943"/>
      <c r="AA49" s="944"/>
    </row>
    <row r="50" spans="2:27" ht="17.25" customHeight="1" x14ac:dyDescent="0.15">
      <c r="H50" s="8"/>
    </row>
    <row r="51" spans="2:27" ht="17.25" customHeight="1" x14ac:dyDescent="0.15">
      <c r="B51" s="17" t="s">
        <v>128</v>
      </c>
    </row>
    <row r="52" spans="2:27" ht="16.5" customHeight="1" thickBot="1" x14ac:dyDescent="0.2">
      <c r="C52" s="102" t="s">
        <v>240</v>
      </c>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row>
    <row r="53" spans="2:27" ht="17.25" customHeight="1" thickTop="1" x14ac:dyDescent="0.15">
      <c r="H53" s="938" t="s">
        <v>40</v>
      </c>
      <c r="I53" s="939"/>
      <c r="J53" s="939"/>
      <c r="K53" s="939"/>
      <c r="L53" s="939"/>
      <c r="M53" s="939"/>
      <c r="N53" s="939"/>
      <c r="O53" s="939"/>
      <c r="P53" s="939"/>
      <c r="Q53" s="940"/>
      <c r="R53" s="938" t="s">
        <v>41</v>
      </c>
      <c r="S53" s="939"/>
      <c r="T53" s="939"/>
      <c r="U53" s="939"/>
      <c r="V53" s="939"/>
      <c r="W53" s="939"/>
      <c r="X53" s="939"/>
      <c r="Y53" s="939"/>
      <c r="Z53" s="601" t="s">
        <v>178</v>
      </c>
      <c r="AA53" s="640"/>
    </row>
    <row r="54" spans="2:27" s="9" customFormat="1" ht="47.25" customHeight="1" x14ac:dyDescent="0.15">
      <c r="B54" s="867" t="s">
        <v>0</v>
      </c>
      <c r="C54" s="867"/>
      <c r="D54" s="867"/>
      <c r="E54" s="21"/>
      <c r="F54" s="866" t="s">
        <v>70</v>
      </c>
      <c r="G54" s="867"/>
      <c r="H54" s="866" t="s">
        <v>58</v>
      </c>
      <c r="I54" s="867"/>
      <c r="J54" s="866" t="s">
        <v>59</v>
      </c>
      <c r="K54" s="867"/>
      <c r="L54" s="866" t="s">
        <v>60</v>
      </c>
      <c r="M54" s="867"/>
      <c r="N54" s="866" t="s">
        <v>4</v>
      </c>
      <c r="O54" s="409"/>
      <c r="P54" s="866" t="s">
        <v>7</v>
      </c>
      <c r="Q54" s="867"/>
      <c r="R54" s="411" t="s">
        <v>55</v>
      </c>
      <c r="S54" s="867"/>
      <c r="T54" s="866" t="s">
        <v>56</v>
      </c>
      <c r="U54" s="867"/>
      <c r="V54" s="866" t="s">
        <v>57</v>
      </c>
      <c r="W54" s="366"/>
      <c r="X54" s="866" t="s">
        <v>6</v>
      </c>
      <c r="Y54" s="409"/>
      <c r="Z54" s="858"/>
      <c r="AA54" s="859"/>
    </row>
    <row r="55" spans="2:27" s="9" customFormat="1" ht="17.25" customHeight="1" x14ac:dyDescent="0.15">
      <c r="B55" s="612"/>
      <c r="C55" s="613"/>
      <c r="D55" s="614"/>
      <c r="E55" s="27" t="str">
        <f>IF(B55="","",B55&amp;F55)</f>
        <v/>
      </c>
      <c r="F55" s="848" t="str">
        <f>IF(OR($I$27="",B55=""),"",DATE(YEAR($I$27),MONTH($I$27),DAY($I$27)))</f>
        <v/>
      </c>
      <c r="G55" s="848"/>
      <c r="H55" s="860"/>
      <c r="I55" s="860"/>
      <c r="J55" s="860"/>
      <c r="K55" s="860"/>
      <c r="L55" s="842" t="str">
        <f>IF(F55="","",IF(J55&lt;1,"－",ROUND(H55/J55,2)))</f>
        <v/>
      </c>
      <c r="M55" s="843"/>
      <c r="N55" s="864" t="str">
        <f>IF(F55="","",IF(OR(J55&lt;1,J56&lt;1,J57&lt;1),"－",ROUND(SUM(L55:M57)/3,2)))</f>
        <v/>
      </c>
      <c r="O55" s="865"/>
      <c r="P55" s="864" t="str">
        <f>IF(F55="","",IF(N55="－",N55,ROUND(N55*0.8,2)))</f>
        <v/>
      </c>
      <c r="Q55" s="864"/>
      <c r="R55" s="464"/>
      <c r="S55" s="860"/>
      <c r="T55" s="860"/>
      <c r="U55" s="860"/>
      <c r="V55" s="842" t="str">
        <f>IF(F55="","",IF(T55&lt;1,"－",ROUND(R55/T55,2)))</f>
        <v/>
      </c>
      <c r="W55" s="845"/>
      <c r="X55" s="864" t="str">
        <f>IF(F55="","",IF(OR(T55&lt;1,T56&lt;1,T57&lt;1),"－",ROUND(SUM(V55:W57)/3,2)))</f>
        <v/>
      </c>
      <c r="Y55" s="865"/>
      <c r="Z55" s="854" t="str">
        <f>IF(B55="","",IF(OR(P55="－",X55="－"),"比較不能",IF(P55&lt;X55,"Ｃ＜Ｂ","Ｃ≧Ｂ")))</f>
        <v/>
      </c>
      <c r="AA55" s="855"/>
    </row>
    <row r="56" spans="2:27" s="9" customFormat="1" ht="17.25" customHeight="1" x14ac:dyDescent="0.15">
      <c r="B56" s="615"/>
      <c r="C56" s="616"/>
      <c r="D56" s="617"/>
      <c r="E56" s="27" t="str">
        <f>IF(B55="","",B55&amp;F56)</f>
        <v/>
      </c>
      <c r="F56" s="848" t="str">
        <f>IF(OR($I$27="",B55=""),"",DATE(YEAR($I$27)-1,MONTH($I$27),DAY($I$27)))</f>
        <v/>
      </c>
      <c r="G56" s="848"/>
      <c r="H56" s="860"/>
      <c r="I56" s="860"/>
      <c r="J56" s="860"/>
      <c r="K56" s="860"/>
      <c r="L56" s="842" t="str">
        <f>IF(F56="","",IF(J56&lt;1,"－",ROUND(H56/J56,2)))</f>
        <v/>
      </c>
      <c r="M56" s="843"/>
      <c r="N56" s="864"/>
      <c r="O56" s="865"/>
      <c r="P56" s="864"/>
      <c r="Q56" s="864"/>
      <c r="R56" s="464"/>
      <c r="S56" s="860"/>
      <c r="T56" s="860"/>
      <c r="U56" s="860"/>
      <c r="V56" s="842" t="str">
        <f t="shared" ref="V56:V63" si="1">IF(F56="","",IF(T56&lt;1,"－",ROUND(R56/T56,2)))</f>
        <v/>
      </c>
      <c r="W56" s="845"/>
      <c r="X56" s="864"/>
      <c r="Y56" s="865"/>
      <c r="Z56" s="856"/>
      <c r="AA56" s="857"/>
    </row>
    <row r="57" spans="2:27" s="9" customFormat="1" ht="17.25" customHeight="1" x14ac:dyDescent="0.15">
      <c r="B57" s="618"/>
      <c r="C57" s="619"/>
      <c r="D57" s="620"/>
      <c r="E57" s="27" t="str">
        <f>IF(B55="","",B55&amp;F57)</f>
        <v/>
      </c>
      <c r="F57" s="848" t="str">
        <f>IF(OR($I$27="",B55=""),"",DATE(YEAR($I$27)-2,MONTH($I$27),DAY($I$27)))</f>
        <v/>
      </c>
      <c r="G57" s="848"/>
      <c r="H57" s="860"/>
      <c r="I57" s="860"/>
      <c r="J57" s="860"/>
      <c r="K57" s="860"/>
      <c r="L57" s="842" t="str">
        <f t="shared" ref="L57:L62" si="2">IF(F57="","",IF(J57&lt;1,"－",ROUND(H57/J57,2)))</f>
        <v/>
      </c>
      <c r="M57" s="843"/>
      <c r="N57" s="864"/>
      <c r="O57" s="865"/>
      <c r="P57" s="864"/>
      <c r="Q57" s="864"/>
      <c r="R57" s="464"/>
      <c r="S57" s="860"/>
      <c r="T57" s="860"/>
      <c r="U57" s="860"/>
      <c r="V57" s="842" t="str">
        <f t="shared" si="1"/>
        <v/>
      </c>
      <c r="W57" s="845"/>
      <c r="X57" s="864"/>
      <c r="Y57" s="865"/>
      <c r="Z57" s="858"/>
      <c r="AA57" s="859"/>
    </row>
    <row r="58" spans="2:27" s="9" customFormat="1" ht="17.25" customHeight="1" x14ac:dyDescent="0.15">
      <c r="B58" s="847"/>
      <c r="C58" s="847"/>
      <c r="D58" s="847"/>
      <c r="E58" s="27" t="str">
        <f>IF(B58="","",B58&amp;F58)</f>
        <v/>
      </c>
      <c r="F58" s="848" t="str">
        <f>IF(OR($I$27="",B58=""),"",DATE(YEAR($I$27),MONTH($I$27),DAY($I$27)))</f>
        <v/>
      </c>
      <c r="G58" s="848"/>
      <c r="H58" s="860"/>
      <c r="I58" s="860"/>
      <c r="J58" s="860"/>
      <c r="K58" s="860"/>
      <c r="L58" s="842" t="str">
        <f t="shared" si="2"/>
        <v/>
      </c>
      <c r="M58" s="843"/>
      <c r="N58" s="850" t="str">
        <f>IF(F58="","",IF(OR(J58&lt;1,J59&lt;1,J60&lt;1),"－",ROUND(SUM(L58:M60)/3,2)))</f>
        <v/>
      </c>
      <c r="O58" s="842"/>
      <c r="P58" s="850" t="str">
        <f>IF(F58="","",IF(N58="－",N58,ROUND(N58*0.8,2)))</f>
        <v/>
      </c>
      <c r="Q58" s="850"/>
      <c r="R58" s="464"/>
      <c r="S58" s="860"/>
      <c r="T58" s="860"/>
      <c r="U58" s="860"/>
      <c r="V58" s="842" t="str">
        <f t="shared" si="1"/>
        <v/>
      </c>
      <c r="W58" s="845"/>
      <c r="X58" s="850" t="str">
        <f>IF(F58="","",IF(OR(T58&lt;1,T59&lt;1,T60&lt;1),"－",ROUND(SUM(V58:W60)/3,2)))</f>
        <v/>
      </c>
      <c r="Y58" s="842"/>
      <c r="Z58" s="854" t="str">
        <f>IF(B58="","",IF(OR(P58="－",X58="－"),"比較不能",IF(P58&lt;X58,"Ｃ＜Ｂ","Ｃ≧Ｂ")))</f>
        <v/>
      </c>
      <c r="AA58" s="855"/>
    </row>
    <row r="59" spans="2:27" s="9" customFormat="1" ht="17.25" customHeight="1" x14ac:dyDescent="0.15">
      <c r="B59" s="847"/>
      <c r="C59" s="847"/>
      <c r="D59" s="847"/>
      <c r="E59" s="27" t="str">
        <f>IF(B58="","",B58&amp;F59)</f>
        <v/>
      </c>
      <c r="F59" s="848" t="str">
        <f>IF(OR($I$27="",B58=""),"",DATE(YEAR($I$27)-1,MONTH($I$27),DAY($I$27)))</f>
        <v/>
      </c>
      <c r="G59" s="848"/>
      <c r="H59" s="860"/>
      <c r="I59" s="860"/>
      <c r="J59" s="860"/>
      <c r="K59" s="860"/>
      <c r="L59" s="842" t="str">
        <f t="shared" si="2"/>
        <v/>
      </c>
      <c r="M59" s="843"/>
      <c r="N59" s="850"/>
      <c r="O59" s="842"/>
      <c r="P59" s="850"/>
      <c r="Q59" s="850"/>
      <c r="R59" s="464"/>
      <c r="S59" s="860"/>
      <c r="T59" s="860"/>
      <c r="U59" s="860"/>
      <c r="V59" s="842" t="str">
        <f t="shared" si="1"/>
        <v/>
      </c>
      <c r="W59" s="845"/>
      <c r="X59" s="850"/>
      <c r="Y59" s="842"/>
      <c r="Z59" s="856"/>
      <c r="AA59" s="857"/>
    </row>
    <row r="60" spans="2:27" s="9" customFormat="1" ht="17.25" customHeight="1" x14ac:dyDescent="0.15">
      <c r="B60" s="847"/>
      <c r="C60" s="847"/>
      <c r="D60" s="847"/>
      <c r="E60" s="27" t="str">
        <f>IF(B58="","",B58&amp;F60)</f>
        <v/>
      </c>
      <c r="F60" s="848" t="str">
        <f>IF(OR($I$27="",B58=""),"",DATE(YEAR($I$27)-2,MONTH($I$27),DAY($I$27)))</f>
        <v/>
      </c>
      <c r="G60" s="848"/>
      <c r="H60" s="860"/>
      <c r="I60" s="860"/>
      <c r="J60" s="860"/>
      <c r="K60" s="860"/>
      <c r="L60" s="842" t="str">
        <f t="shared" si="2"/>
        <v/>
      </c>
      <c r="M60" s="843"/>
      <c r="N60" s="850"/>
      <c r="O60" s="842"/>
      <c r="P60" s="850"/>
      <c r="Q60" s="850"/>
      <c r="R60" s="464"/>
      <c r="S60" s="860"/>
      <c r="T60" s="860"/>
      <c r="U60" s="860"/>
      <c r="V60" s="842" t="str">
        <f t="shared" si="1"/>
        <v/>
      </c>
      <c r="W60" s="845"/>
      <c r="X60" s="850"/>
      <c r="Y60" s="842"/>
      <c r="Z60" s="858"/>
      <c r="AA60" s="859"/>
    </row>
    <row r="61" spans="2:27" s="9" customFormat="1" ht="17.25" customHeight="1" x14ac:dyDescent="0.15">
      <c r="B61" s="846"/>
      <c r="C61" s="846"/>
      <c r="D61" s="846"/>
      <c r="E61" s="27" t="str">
        <f>IF(B61="","",B61&amp;F61)</f>
        <v/>
      </c>
      <c r="F61" s="848" t="str">
        <f>IF(OR($I$27="",B61=""),"",DATE(YEAR($I$27),MONTH($I$27),DAY($I$27)))</f>
        <v/>
      </c>
      <c r="G61" s="848"/>
      <c r="H61" s="849"/>
      <c r="I61" s="849"/>
      <c r="J61" s="849"/>
      <c r="K61" s="849"/>
      <c r="L61" s="842" t="str">
        <f t="shared" si="2"/>
        <v/>
      </c>
      <c r="M61" s="843"/>
      <c r="N61" s="850" t="str">
        <f>IF(F61="","",IF(OR(J61&lt;1,J62&lt;1,J63&lt;1),"－",ROUND(SUM(L61:M63)/3,2)))</f>
        <v/>
      </c>
      <c r="O61" s="842"/>
      <c r="P61" s="850" t="str">
        <f>IF(F61="","",IF(N61="－",N61,ROUND(N61*0.8,2)))</f>
        <v/>
      </c>
      <c r="Q61" s="850"/>
      <c r="R61" s="705"/>
      <c r="S61" s="849"/>
      <c r="T61" s="849"/>
      <c r="U61" s="849"/>
      <c r="V61" s="842" t="str">
        <f t="shared" si="1"/>
        <v/>
      </c>
      <c r="W61" s="845"/>
      <c r="X61" s="850" t="str">
        <f>IF(F61="","",IF(OR(T61&lt;1,T62&lt;1,T63&lt;1),"－",ROUND(SUM(V61:W63)/3,2)))</f>
        <v/>
      </c>
      <c r="Y61" s="842"/>
      <c r="Z61" s="854" t="str">
        <f>IF(B61="","",IF(OR(P61="－",X61="－"),"比較不能",IF(P61&lt;X61,"Ｃ＜Ｂ","Ｃ≧Ｂ")))</f>
        <v/>
      </c>
      <c r="AA61" s="855"/>
    </row>
    <row r="62" spans="2:27" s="9" customFormat="1" ht="17.25" customHeight="1" x14ac:dyDescent="0.15">
      <c r="B62" s="847"/>
      <c r="C62" s="847"/>
      <c r="D62" s="847"/>
      <c r="E62" s="27" t="str">
        <f>IF(B61="","",B61&amp;F62)</f>
        <v/>
      </c>
      <c r="F62" s="848" t="str">
        <f>IF(OR($I$27="",B61=""),"",DATE(YEAR($I$27)-1,MONTH($I$27),DAY($I$27)))</f>
        <v/>
      </c>
      <c r="G62" s="848"/>
      <c r="H62" s="860"/>
      <c r="I62" s="860"/>
      <c r="J62" s="860"/>
      <c r="K62" s="860"/>
      <c r="L62" s="842" t="str">
        <f t="shared" si="2"/>
        <v/>
      </c>
      <c r="M62" s="843"/>
      <c r="N62" s="850"/>
      <c r="O62" s="842"/>
      <c r="P62" s="850"/>
      <c r="Q62" s="850"/>
      <c r="R62" s="464"/>
      <c r="S62" s="860"/>
      <c r="T62" s="860"/>
      <c r="U62" s="860"/>
      <c r="V62" s="842" t="str">
        <f t="shared" si="1"/>
        <v/>
      </c>
      <c r="W62" s="845"/>
      <c r="X62" s="850"/>
      <c r="Y62" s="842"/>
      <c r="Z62" s="856"/>
      <c r="AA62" s="857"/>
    </row>
    <row r="63" spans="2:27" s="9" customFormat="1" ht="17.25" customHeight="1" thickBot="1" x14ac:dyDescent="0.2">
      <c r="B63" s="847"/>
      <c r="C63" s="847"/>
      <c r="D63" s="847"/>
      <c r="E63" s="65" t="str">
        <f>IF(B61="","",B61&amp;F63)</f>
        <v/>
      </c>
      <c r="F63" s="848" t="str">
        <f>IF(OR($I$27="",B61=""),"",DATE(YEAR($I$27)-2,MONTH($I$27),DAY($I$27)))</f>
        <v/>
      </c>
      <c r="G63" s="848"/>
      <c r="H63" s="861"/>
      <c r="I63" s="861"/>
      <c r="J63" s="861"/>
      <c r="K63" s="861"/>
      <c r="L63" s="852" t="str">
        <f>IF(F63="","",IF(J63&lt;1,"－",ROUND(H63/J63,2)))</f>
        <v/>
      </c>
      <c r="M63" s="862"/>
      <c r="N63" s="851"/>
      <c r="O63" s="852"/>
      <c r="P63" s="851"/>
      <c r="Q63" s="851"/>
      <c r="R63" s="863"/>
      <c r="S63" s="861"/>
      <c r="T63" s="861"/>
      <c r="U63" s="861"/>
      <c r="V63" s="852" t="str">
        <f t="shared" si="1"/>
        <v/>
      </c>
      <c r="W63" s="853"/>
      <c r="X63" s="851"/>
      <c r="Y63" s="852"/>
      <c r="Z63" s="856"/>
      <c r="AA63" s="857"/>
    </row>
    <row r="64" spans="2:27" ht="27" customHeight="1" thickTop="1" thickBot="1" x14ac:dyDescent="0.2">
      <c r="C64" s="64"/>
      <c r="D64" s="64"/>
      <c r="E64" s="64"/>
      <c r="F64" s="688" t="s">
        <v>194</v>
      </c>
      <c r="G64" s="689"/>
      <c r="H64" s="689"/>
      <c r="I64" s="689"/>
      <c r="J64" s="689"/>
      <c r="K64" s="689"/>
      <c r="L64" s="689"/>
      <c r="M64" s="689"/>
      <c r="N64" s="689"/>
      <c r="O64" s="689"/>
      <c r="P64" s="689"/>
      <c r="Q64" s="689"/>
      <c r="R64" s="689"/>
      <c r="S64" s="689"/>
      <c r="T64" s="689"/>
      <c r="U64" s="689"/>
      <c r="V64" s="689"/>
      <c r="W64" s="689"/>
      <c r="X64" s="751"/>
      <c r="Y64" s="751"/>
      <c r="Z64" s="751"/>
      <c r="AA64" s="752"/>
    </row>
    <row r="65" spans="2:28" ht="17.25" customHeight="1" thickTop="1" x14ac:dyDescent="0.15">
      <c r="P65" s="15"/>
      <c r="Q65" s="15"/>
      <c r="AA65" s="35" t="str">
        <f>IF(G23="","",IF(X64="","リストから選択↑　",""))</f>
        <v/>
      </c>
    </row>
    <row r="66" spans="2:28" ht="16.5" customHeight="1" x14ac:dyDescent="0.15">
      <c r="B66" s="606" t="s">
        <v>207</v>
      </c>
      <c r="C66" s="606"/>
      <c r="D66" s="606"/>
      <c r="E66" s="606"/>
      <c r="F66" s="606"/>
      <c r="G66" s="606"/>
      <c r="H66" s="606"/>
      <c r="I66" s="606"/>
      <c r="J66" s="606"/>
      <c r="K66" s="606"/>
      <c r="L66" s="606"/>
      <c r="M66" s="606"/>
      <c r="N66" s="606"/>
      <c r="O66" s="606"/>
      <c r="P66" s="606"/>
      <c r="Q66" s="606"/>
      <c r="R66" s="606"/>
      <c r="S66" s="606"/>
      <c r="T66" s="606"/>
      <c r="U66" s="606"/>
      <c r="V66" s="606"/>
      <c r="W66" s="606"/>
      <c r="X66" s="606"/>
      <c r="Y66" s="606"/>
      <c r="Z66" s="606"/>
      <c r="AA66" s="606"/>
    </row>
    <row r="67" spans="2:28" ht="27.75" customHeight="1" x14ac:dyDescent="0.15">
      <c r="B67" s="73"/>
      <c r="C67" s="606" t="s">
        <v>241</v>
      </c>
      <c r="D67" s="606"/>
      <c r="E67" s="606"/>
      <c r="F67" s="606"/>
      <c r="G67" s="606"/>
      <c r="H67" s="606"/>
      <c r="I67" s="606"/>
      <c r="J67" s="606"/>
      <c r="K67" s="606"/>
      <c r="L67" s="606"/>
      <c r="M67" s="606"/>
      <c r="N67" s="606"/>
      <c r="O67" s="606"/>
      <c r="P67" s="606"/>
      <c r="Q67" s="606"/>
      <c r="R67" s="606"/>
      <c r="S67" s="606"/>
      <c r="T67" s="606"/>
      <c r="U67" s="606"/>
      <c r="V67" s="606"/>
      <c r="W67" s="606"/>
      <c r="X67" s="606"/>
      <c r="Y67" s="606"/>
      <c r="Z67" s="606"/>
      <c r="AA67" s="606"/>
    </row>
    <row r="68" spans="2:28" ht="17.25" customHeight="1" x14ac:dyDescent="0.15">
      <c r="B68" s="15"/>
      <c r="C68" s="15"/>
      <c r="D68" s="15"/>
      <c r="F68" s="15"/>
      <c r="G68" s="15"/>
      <c r="H68" s="449" t="s">
        <v>40</v>
      </c>
      <c r="I68" s="450"/>
      <c r="J68" s="450"/>
      <c r="K68" s="451"/>
      <c r="L68" s="449" t="s">
        <v>41</v>
      </c>
      <c r="M68" s="450"/>
      <c r="N68" s="450"/>
      <c r="O68" s="451"/>
      <c r="P68" s="732" t="s">
        <v>63</v>
      </c>
      <c r="Q68" s="733"/>
      <c r="R68" s="733"/>
      <c r="S68" s="733"/>
      <c r="T68" s="733"/>
      <c r="U68" s="733"/>
      <c r="V68" s="733"/>
      <c r="W68" s="733"/>
      <c r="X68" s="733"/>
      <c r="Y68" s="734"/>
      <c r="Z68" s="10"/>
    </row>
    <row r="69" spans="2:28" ht="47.25" customHeight="1" x14ac:dyDescent="0.15">
      <c r="B69" s="637" t="s">
        <v>0</v>
      </c>
      <c r="C69" s="638"/>
      <c r="D69" s="729"/>
      <c r="E69" s="22"/>
      <c r="F69" s="637" t="s">
        <v>1</v>
      </c>
      <c r="G69" s="729"/>
      <c r="H69" s="366" t="s">
        <v>2</v>
      </c>
      <c r="I69" s="368"/>
      <c r="J69" s="366" t="s">
        <v>3</v>
      </c>
      <c r="K69" s="368"/>
      <c r="L69" s="366" t="s">
        <v>2</v>
      </c>
      <c r="M69" s="368"/>
      <c r="N69" s="366" t="s">
        <v>3</v>
      </c>
      <c r="O69" s="368"/>
      <c r="P69" s="46"/>
      <c r="Q69" s="47"/>
      <c r="R69" s="47"/>
      <c r="S69" s="48"/>
      <c r="T69" s="409" t="s">
        <v>61</v>
      </c>
      <c r="U69" s="368"/>
      <c r="V69" s="409" t="s">
        <v>62</v>
      </c>
      <c r="W69" s="368"/>
      <c r="X69" s="409" t="s">
        <v>167</v>
      </c>
      <c r="Y69" s="411"/>
      <c r="Z69" s="10"/>
    </row>
    <row r="70" spans="2:28" s="9" customFormat="1" ht="17.25" customHeight="1" x14ac:dyDescent="0.15">
      <c r="B70" s="553"/>
      <c r="C70" s="554"/>
      <c r="D70" s="555"/>
      <c r="E70" s="29" t="str">
        <f>IF(B70="","",B70&amp;F70)</f>
        <v/>
      </c>
      <c r="F70" s="444" t="str">
        <f>IF(AND($X$64="非該当",$B70&lt;&gt;""),DATE(YEAR($I$27),MONTH($I$27),DAY($I$27)),"")</f>
        <v/>
      </c>
      <c r="G70" s="446"/>
      <c r="H70" s="314" t="str">
        <f>IF($B70="","",VLOOKUP($E70,$E$55:$U$63,4,FALSE))</f>
        <v/>
      </c>
      <c r="I70" s="315"/>
      <c r="J70" s="314" t="str">
        <f>IF($B70="","",VLOOKUP($E70,$E$55:$U$63,6,FALSE))</f>
        <v/>
      </c>
      <c r="K70" s="315"/>
      <c r="L70" s="314" t="str">
        <f>IF($B70="","",VLOOKUP($E70,$E$55:$U$63,14,FALSE))</f>
        <v/>
      </c>
      <c r="M70" s="315"/>
      <c r="N70" s="314" t="str">
        <f>IF($B70="","",VLOOKUP($E70,$E$55:$U$63,16,FALSE))</f>
        <v/>
      </c>
      <c r="O70" s="315"/>
      <c r="P70" s="718" t="str">
        <f>IF(B70="","～",P$16&amp;"～"&amp;Q$18)</f>
        <v>～</v>
      </c>
      <c r="Q70" s="719"/>
      <c r="R70" s="719"/>
      <c r="S70" s="720"/>
      <c r="T70" s="842" t="str">
        <f>IF(B70="","",IF(OR(J70&lt;1,J71&lt;1,J72&lt;1),"－",ROUND((ROUND(H70/J70,2)+ROUND(H71/J71,2)+ROUND(H72/J72,2))/3,2)))</f>
        <v/>
      </c>
      <c r="U70" s="843"/>
      <c r="V70" s="842" t="str">
        <f>IF(B70="","",IF(OR(N70&lt;1,N71&lt;1,N72&lt;1),"－",ROUND((ROUND(L70/N70,2)+ROUND(L71/N71,2)+ROUND(L72/N72,2))/3,2)))</f>
        <v/>
      </c>
      <c r="W70" s="843"/>
      <c r="X70" s="825" t="str">
        <f>IF(B70="","",IF(OR(T70="－",V70="－"),"－",ROUND(T70/V70,2)))</f>
        <v/>
      </c>
      <c r="Y70" s="826"/>
      <c r="Z70" s="49"/>
    </row>
    <row r="71" spans="2:28" s="9" customFormat="1" ht="17.25" customHeight="1" x14ac:dyDescent="0.15">
      <c r="B71" s="564"/>
      <c r="C71" s="349"/>
      <c r="D71" s="565"/>
      <c r="E71" s="28" t="str">
        <f>IF(B70="","",B70&amp;F71)</f>
        <v/>
      </c>
      <c r="F71" s="444" t="str">
        <f>IF(AND($X$64="非該当",$B70&lt;&gt;""),DATE(YEAR($I$27)-1,MONTH($I$27),DAY($I$27)),"")</f>
        <v/>
      </c>
      <c r="G71" s="446"/>
      <c r="H71" s="314" t="str">
        <f>IF($B70="","",VLOOKUP($E71,$E$55:$U$63,4,FALSE))</f>
        <v/>
      </c>
      <c r="I71" s="315"/>
      <c r="J71" s="314" t="str">
        <f>IF($B70="","",VLOOKUP($E71,$E$55:$U$63,6,FALSE))</f>
        <v/>
      </c>
      <c r="K71" s="315"/>
      <c r="L71" s="314" t="str">
        <f>IF($B70="","",VLOOKUP($E71,$E$55:$U$63,14,FALSE))</f>
        <v/>
      </c>
      <c r="M71" s="315"/>
      <c r="N71" s="314" t="str">
        <f>IF($B70="","",VLOOKUP($E71,$E$55:$U$63,16,FALSE))</f>
        <v/>
      </c>
      <c r="O71" s="315"/>
      <c r="P71" s="718" t="str">
        <f>IF(B70="","～",P$17&amp;"～"&amp;Q$19)</f>
        <v>～</v>
      </c>
      <c r="Q71" s="719"/>
      <c r="R71" s="719"/>
      <c r="S71" s="720"/>
      <c r="T71" s="842" t="str">
        <f>IF(B70="","",IF(OR(J71&lt;1,J72&lt;1,J73&lt;1),"－",ROUND((ROUND(H71/J71,2)+ROUND(H72/J72,2)+ROUND(H73/J73,2))/3,2)))</f>
        <v/>
      </c>
      <c r="U71" s="843"/>
      <c r="V71" s="842" t="str">
        <f>IF(B70="","",IF(OR(N71&lt;1,N72&lt;1,N73&lt;1),"－",ROUND((ROUND(L71/N71,2)+ROUND(L72/N72,2)+ROUND(L73/N73,2))/3,2)))</f>
        <v/>
      </c>
      <c r="W71" s="843"/>
      <c r="X71" s="825" t="str">
        <f>IF(B70="","",IF(OR(T71="－",V71="－"),"－",ROUND(T71/V71,2)))</f>
        <v/>
      </c>
      <c r="Y71" s="826"/>
      <c r="Z71" s="49"/>
    </row>
    <row r="72" spans="2:28" s="9" customFormat="1" ht="17.25" customHeight="1" x14ac:dyDescent="0.15">
      <c r="B72" s="564"/>
      <c r="C72" s="349"/>
      <c r="D72" s="565"/>
      <c r="E72" s="28" t="str">
        <f>IF(B70="","",B70&amp;F72)</f>
        <v/>
      </c>
      <c r="F72" s="444" t="str">
        <f>IF(AND($X$64="非該当",$B70&lt;&gt;""),DATE(YEAR($I$27)-2,MONTH($I$27),DAY($I$27)),"")</f>
        <v/>
      </c>
      <c r="G72" s="446"/>
      <c r="H72" s="314" t="str">
        <f>IF($B70="","",VLOOKUP($E72,$E$55:$U$63,4,FALSE))</f>
        <v/>
      </c>
      <c r="I72" s="315"/>
      <c r="J72" s="314" t="str">
        <f>IF($B70="","",VLOOKUP($E72,$E$55:$U$63,6,FALSE))</f>
        <v/>
      </c>
      <c r="K72" s="315"/>
      <c r="L72" s="314" t="str">
        <f>IF($B70="","",VLOOKUP($E72,$E$55:$U$63,14,FALSE))</f>
        <v/>
      </c>
      <c r="M72" s="315"/>
      <c r="N72" s="314" t="str">
        <f>IF($B70="","",VLOOKUP($E72,$E$55:$U$63,16,FALSE))</f>
        <v/>
      </c>
      <c r="O72" s="315"/>
      <c r="P72" s="718" t="str">
        <f>IF(B70="","～",P$18&amp;"～"&amp;Q$20)</f>
        <v>～</v>
      </c>
      <c r="Q72" s="719"/>
      <c r="R72" s="719"/>
      <c r="S72" s="720"/>
      <c r="T72" s="842" t="str">
        <f>IF(B70="","",IF(OR(J72&lt;1,J73&lt;1,J74&lt;1),"－",ROUND((ROUND(H72/J72,2)+ROUND(H73/J73,2)+ROUND(H74/J74,2))/3,2)))</f>
        <v/>
      </c>
      <c r="U72" s="843"/>
      <c r="V72" s="842" t="str">
        <f>IF(B70="","",IF(OR(N72&lt;1,N73&lt;1,N74&lt;1),"－",ROUND((ROUND(L72/N72,2)+ROUND(L73/N73,2)+ROUND(L74/N74,2))/3,2)))</f>
        <v/>
      </c>
      <c r="W72" s="843"/>
      <c r="X72" s="825" t="str">
        <f>IF(B70="","",IF(OR(T72="－",V72="－"),"－",ROUND(T72/V72,2)))</f>
        <v/>
      </c>
      <c r="Y72" s="826"/>
      <c r="Z72" s="49"/>
    </row>
    <row r="73" spans="2:28" s="9" customFormat="1" ht="17.25" customHeight="1" x14ac:dyDescent="0.15">
      <c r="B73" s="564"/>
      <c r="C73" s="349"/>
      <c r="D73" s="565"/>
      <c r="E73" s="28"/>
      <c r="F73" s="444" t="str">
        <f>IF(AND($X$64="非該当",$B70&lt;&gt;""),DATE(YEAR($I$27)-3,MONTH($I$27),DAY($I$27)),"")</f>
        <v/>
      </c>
      <c r="G73" s="446"/>
      <c r="H73" s="318"/>
      <c r="I73" s="319"/>
      <c r="J73" s="318"/>
      <c r="K73" s="319"/>
      <c r="L73" s="318"/>
      <c r="M73" s="319"/>
      <c r="N73" s="318"/>
      <c r="O73" s="319"/>
      <c r="P73" s="86"/>
      <c r="Q73" s="87"/>
      <c r="R73" s="87"/>
      <c r="S73" s="87"/>
      <c r="T73" s="81"/>
      <c r="U73" s="81"/>
      <c r="V73" s="81"/>
      <c r="W73" s="81"/>
      <c r="X73" s="81"/>
      <c r="Y73" s="82"/>
      <c r="Z73" s="49"/>
    </row>
    <row r="74" spans="2:28" s="9" customFormat="1" ht="17.25" customHeight="1" x14ac:dyDescent="0.15">
      <c r="B74" s="566"/>
      <c r="C74" s="567"/>
      <c r="D74" s="568"/>
      <c r="E74" s="30"/>
      <c r="F74" s="444" t="str">
        <f>IF(AND($X$64="非該当",$B70&lt;&gt;""),DATE(YEAR($I$27)-4,MONTH($I$27),DAY($I$27)),"")</f>
        <v/>
      </c>
      <c r="G74" s="446"/>
      <c r="H74" s="318"/>
      <c r="I74" s="319"/>
      <c r="J74" s="318"/>
      <c r="K74" s="319"/>
      <c r="L74" s="318"/>
      <c r="M74" s="319"/>
      <c r="N74" s="318"/>
      <c r="O74" s="319"/>
      <c r="P74" s="88"/>
      <c r="Q74" s="89"/>
      <c r="R74" s="89"/>
      <c r="S74" s="89"/>
      <c r="T74" s="84"/>
      <c r="U74" s="84"/>
      <c r="V74" s="84"/>
      <c r="W74" s="84"/>
      <c r="X74" s="84"/>
      <c r="Y74" s="85"/>
      <c r="Z74" s="49"/>
    </row>
    <row r="75" spans="2:28" s="9" customFormat="1" ht="17.25" customHeight="1" x14ac:dyDescent="0.15">
      <c r="B75" s="553"/>
      <c r="C75" s="554"/>
      <c r="D75" s="555"/>
      <c r="E75" s="29" t="str">
        <f>IF(B75="","",B75&amp;F75)</f>
        <v/>
      </c>
      <c r="F75" s="444" t="str">
        <f>IF(AND($X$64="非該当",$B75&lt;&gt;""),DATE(YEAR($I$27),MONTH($I$27),DAY($I$27)),"")</f>
        <v/>
      </c>
      <c r="G75" s="446"/>
      <c r="H75" s="314" t="str">
        <f>IF($B75="","",VLOOKUP($E75,$E$55:$U$63,4,FALSE))</f>
        <v/>
      </c>
      <c r="I75" s="315"/>
      <c r="J75" s="314" t="str">
        <f>IF($B75="","",VLOOKUP($E75,$E$55:$U$63,6,FALSE))</f>
        <v/>
      </c>
      <c r="K75" s="315"/>
      <c r="L75" s="314" t="str">
        <f>IF($B75="","",VLOOKUP($E75,$E$55:$U$63,14,FALSE))</f>
        <v/>
      </c>
      <c r="M75" s="315"/>
      <c r="N75" s="314" t="str">
        <f>IF($B75="","",VLOOKUP($E75,$E$55:$U$63,16,FALSE))</f>
        <v/>
      </c>
      <c r="O75" s="315"/>
      <c r="P75" s="718" t="str">
        <f>IF(B75="","～",P$16&amp;"～"&amp;Q$18)</f>
        <v>～</v>
      </c>
      <c r="Q75" s="719"/>
      <c r="R75" s="719"/>
      <c r="S75" s="720"/>
      <c r="T75" s="842" t="str">
        <f>IF(B75="","",IF(OR(J75&lt;1,J76&lt;1,J77&lt;1),"－",ROUND((ROUND(H75/J75,2)+ROUND(H76/J76,2)+ROUND(H77/J77,2))/3,2)))</f>
        <v/>
      </c>
      <c r="U75" s="843"/>
      <c r="V75" s="842" t="str">
        <f>IF(B75="","",IF(OR(N75&lt;1,N76&lt;1,N77&lt;1),"－",ROUND((ROUND(L75/N75,2)+ROUND(L76/N76,2)+ROUND(L77/N77,2))/3,2)))</f>
        <v/>
      </c>
      <c r="W75" s="843"/>
      <c r="X75" s="825" t="str">
        <f>IF(B75="","",IF(OR(T75="－",V75="－"),"－",ROUND(T75/V75,2)))</f>
        <v/>
      </c>
      <c r="Y75" s="826"/>
      <c r="Z75" s="10"/>
    </row>
    <row r="76" spans="2:28" s="9" customFormat="1" ht="17.25" customHeight="1" x14ac:dyDescent="0.15">
      <c r="B76" s="564"/>
      <c r="C76" s="349"/>
      <c r="D76" s="565"/>
      <c r="E76" s="28" t="str">
        <f>IF(B75="","",B75&amp;F76)</f>
        <v/>
      </c>
      <c r="F76" s="444" t="str">
        <f>IF(AND($X$64="非該当",$B75&lt;&gt;""),DATE(YEAR($I$27)-1,MONTH($I$27),DAY($I$27)),"")</f>
        <v/>
      </c>
      <c r="G76" s="446"/>
      <c r="H76" s="314" t="str">
        <f>IF($B75="","",VLOOKUP($E76,$E$55:$U$63,4,FALSE))</f>
        <v/>
      </c>
      <c r="I76" s="315"/>
      <c r="J76" s="314" t="str">
        <f>IF($B75="","",VLOOKUP($E76,$E$55:$U$63,6,FALSE))</f>
        <v/>
      </c>
      <c r="K76" s="315"/>
      <c r="L76" s="314" t="str">
        <f>IF($B75="","",VLOOKUP($E76,$E$55:$U$63,14,FALSE))</f>
        <v/>
      </c>
      <c r="M76" s="315"/>
      <c r="N76" s="314" t="str">
        <f>IF($B75="","",VLOOKUP($E76,$E$55:$U$63,16,FALSE))</f>
        <v/>
      </c>
      <c r="O76" s="315"/>
      <c r="P76" s="718" t="str">
        <f>IF(B75="","～",P$17&amp;"～"&amp;Q$19)</f>
        <v>～</v>
      </c>
      <c r="Q76" s="719"/>
      <c r="R76" s="719"/>
      <c r="S76" s="720"/>
      <c r="T76" s="842" t="str">
        <f>IF(B75="","",IF(OR(J76&lt;1,J77&lt;1,J78&lt;1),"－",ROUND((ROUND(H76/J76,2)+ROUND(H77/J77,2)+ROUND(H78/J78,2))/3,2)))</f>
        <v/>
      </c>
      <c r="U76" s="843"/>
      <c r="V76" s="842" t="str">
        <f>IF(B75="","",IF(OR(N76&lt;1,N77&lt;1,N78&lt;1),"－",ROUND((ROUND(L76/N76,2)+ROUND(L77/N77,2)+ROUND(L78/N78,2))/3,2)))</f>
        <v/>
      </c>
      <c r="W76" s="843"/>
      <c r="X76" s="825" t="str">
        <f>IF(B75="","",IF(OR(T76="－",V76="－"),"－",ROUND(T76/V76,2)))</f>
        <v/>
      </c>
      <c r="Y76" s="826"/>
      <c r="Z76" s="10"/>
      <c r="AA76" s="45"/>
      <c r="AB76" s="45"/>
    </row>
    <row r="77" spans="2:28" s="9" customFormat="1" ht="17.25" customHeight="1" x14ac:dyDescent="0.15">
      <c r="B77" s="564"/>
      <c r="C77" s="349"/>
      <c r="D77" s="565"/>
      <c r="E77" s="28" t="str">
        <f>IF(B75="","",B75&amp;F77)</f>
        <v/>
      </c>
      <c r="F77" s="444" t="str">
        <f>IF(AND($X$64="非該当",$B75&lt;&gt;""),DATE(YEAR($I$27)-2,MONTH($I$27),DAY($I$27)),"")</f>
        <v/>
      </c>
      <c r="G77" s="446"/>
      <c r="H77" s="314" t="str">
        <f>IF($B75="","",VLOOKUP($E77,$E$55:$U$63,4,FALSE))</f>
        <v/>
      </c>
      <c r="I77" s="315"/>
      <c r="J77" s="314" t="str">
        <f>IF($B75="","",VLOOKUP($E77,$E$55:$U$63,6,FALSE))</f>
        <v/>
      </c>
      <c r="K77" s="315"/>
      <c r="L77" s="314" t="str">
        <f>IF($B75="","",VLOOKUP($E77,$E$55:$U$63,14,FALSE))</f>
        <v/>
      </c>
      <c r="M77" s="315"/>
      <c r="N77" s="314" t="str">
        <f>IF($B75="","",VLOOKUP($E77,$E$55:$U$63,16,FALSE))</f>
        <v/>
      </c>
      <c r="O77" s="315"/>
      <c r="P77" s="718" t="str">
        <f>IF(B75="","～",P$18&amp;"～"&amp;Q$20)</f>
        <v>～</v>
      </c>
      <c r="Q77" s="719"/>
      <c r="R77" s="719"/>
      <c r="S77" s="720"/>
      <c r="T77" s="842" t="str">
        <f>IF(B75="","",IF(OR(J77&lt;1,J78&lt;1,J79&lt;1),"－",ROUND((ROUND(H77/J77,2)+ROUND(H78/J78,2)+ROUND(H79/J79,2))/3,2)))</f>
        <v/>
      </c>
      <c r="U77" s="843"/>
      <c r="V77" s="842" t="str">
        <f>IF(B75="","",IF(OR(N77&lt;1,N78&lt;1,N79&lt;1),"－",ROUND((ROUND(L77/N77,2)+ROUND(L78/N78,2)+ROUND(L79/N79,2))/3,2)))</f>
        <v/>
      </c>
      <c r="W77" s="843"/>
      <c r="X77" s="825" t="str">
        <f>IF(B75="","",IF(OR(T77="－",V77="－"),"－",ROUND(T77/V77,2)))</f>
        <v/>
      </c>
      <c r="Y77" s="826"/>
      <c r="Z77" s="10"/>
    </row>
    <row r="78" spans="2:28" s="9" customFormat="1" ht="17.25" customHeight="1" x14ac:dyDescent="0.15">
      <c r="B78" s="564"/>
      <c r="C78" s="349"/>
      <c r="D78" s="565"/>
      <c r="E78" s="28"/>
      <c r="F78" s="444" t="str">
        <f>IF(AND($X$64="非該当",$B75&lt;&gt;""),DATE(YEAR($I$27)-3,MONTH($I$27),DAY($I$27)),"")</f>
        <v/>
      </c>
      <c r="G78" s="446"/>
      <c r="H78" s="318"/>
      <c r="I78" s="319"/>
      <c r="J78" s="318"/>
      <c r="K78" s="319"/>
      <c r="L78" s="318"/>
      <c r="M78" s="319"/>
      <c r="N78" s="318"/>
      <c r="O78" s="319"/>
      <c r="P78" s="86"/>
      <c r="Q78" s="87"/>
      <c r="R78" s="87"/>
      <c r="S78" s="87"/>
      <c r="T78" s="81"/>
      <c r="U78" s="81"/>
      <c r="V78" s="81"/>
      <c r="W78" s="81"/>
      <c r="X78" s="81"/>
      <c r="Y78" s="82"/>
      <c r="Z78" s="10"/>
    </row>
    <row r="79" spans="2:28" s="9" customFormat="1" ht="17.25" customHeight="1" x14ac:dyDescent="0.15">
      <c r="B79" s="566"/>
      <c r="C79" s="567"/>
      <c r="D79" s="568"/>
      <c r="E79" s="30"/>
      <c r="F79" s="444" t="str">
        <f>IF(AND($X$64="非該当",$B75&lt;&gt;""),DATE(YEAR($I$27)-4,MONTH($I$27),DAY($I$27)),"")</f>
        <v/>
      </c>
      <c r="G79" s="446"/>
      <c r="H79" s="579"/>
      <c r="I79" s="844"/>
      <c r="J79" s="579"/>
      <c r="K79" s="844"/>
      <c r="L79" s="579"/>
      <c r="M79" s="844"/>
      <c r="N79" s="579"/>
      <c r="O79" s="844"/>
      <c r="P79" s="88"/>
      <c r="Q79" s="89"/>
      <c r="R79" s="89"/>
      <c r="S79" s="89"/>
      <c r="T79" s="84"/>
      <c r="U79" s="84"/>
      <c r="V79" s="84"/>
      <c r="W79" s="84"/>
      <c r="X79" s="84"/>
      <c r="Y79" s="85"/>
      <c r="Z79" s="10"/>
    </row>
    <row r="80" spans="2:28" s="9" customFormat="1" ht="17.25" customHeight="1" x14ac:dyDescent="0.15">
      <c r="B80" s="553"/>
      <c r="C80" s="554"/>
      <c r="D80" s="555"/>
      <c r="E80" s="29" t="str">
        <f>IF(B80="","",B80&amp;F80)</f>
        <v/>
      </c>
      <c r="F80" s="444" t="str">
        <f>IF(AND($X$64="非該当",$B80&lt;&gt;""),DATE(YEAR($I$27),MONTH($I$27),DAY($I$27)),"")</f>
        <v/>
      </c>
      <c r="G80" s="446"/>
      <c r="H80" s="314" t="str">
        <f>IF($B80="","",VLOOKUP($E80,$E$55:$U$63,4,FALSE))</f>
        <v/>
      </c>
      <c r="I80" s="315"/>
      <c r="J80" s="314" t="str">
        <f>IF($B80="","",VLOOKUP($E80,$E$55:$U$63,6,FALSE))</f>
        <v/>
      </c>
      <c r="K80" s="315"/>
      <c r="L80" s="314" t="str">
        <f>IF($B80="","",VLOOKUP($E80,$E$55:$U$63,14,FALSE))</f>
        <v/>
      </c>
      <c r="M80" s="315"/>
      <c r="N80" s="314" t="str">
        <f>IF($B80="","",VLOOKUP($E80,$E$55:$U$63,16,FALSE))</f>
        <v/>
      </c>
      <c r="O80" s="315"/>
      <c r="P80" s="718" t="str">
        <f>IF(B80="","～",P$16&amp;"～"&amp;Q$18)</f>
        <v>～</v>
      </c>
      <c r="Q80" s="719"/>
      <c r="R80" s="719"/>
      <c r="S80" s="720"/>
      <c r="T80" s="842" t="str">
        <f>IF(B80="","",IF(OR(J80&lt;1,J81&lt;1,J82&lt;1),"－",ROUND((ROUND(H80/J80,2)+ROUND(H81/J81,2)+ROUND(H82/J82,2))/3,2)))</f>
        <v/>
      </c>
      <c r="U80" s="843"/>
      <c r="V80" s="842" t="str">
        <f>IF(B80="","",IF(OR(N80&lt;1,N81&lt;1,N82&lt;1),"－",ROUND((ROUND(L80/N80,2)+ROUND(L81/N81,2)+ROUND(L82/N82,2))/3,2)))</f>
        <v/>
      </c>
      <c r="W80" s="843"/>
      <c r="X80" s="825" t="str">
        <f>IF(B80="","",IF(OR(T80="－",V80="－"),"－",ROUND(T80/V80,2)))</f>
        <v/>
      </c>
      <c r="Y80" s="826"/>
      <c r="Z80" s="10"/>
    </row>
    <row r="81" spans="2:28" s="9" customFormat="1" ht="17.25" customHeight="1" x14ac:dyDescent="0.15">
      <c r="B81" s="564"/>
      <c r="C81" s="349"/>
      <c r="D81" s="565"/>
      <c r="E81" s="28" t="str">
        <f>IF(B80="","",B80&amp;F81)</f>
        <v/>
      </c>
      <c r="F81" s="444" t="str">
        <f>IF(AND($X$64="非該当",$B80&lt;&gt;""),DATE(YEAR($I$27)-1,MONTH($I$27),DAY($I$27)),"")</f>
        <v/>
      </c>
      <c r="G81" s="446"/>
      <c r="H81" s="314" t="str">
        <f>IF($B80="","",VLOOKUP($E81,$E$55:$U$63,4,FALSE))</f>
        <v/>
      </c>
      <c r="I81" s="315"/>
      <c r="J81" s="314" t="str">
        <f>IF($B80="","",VLOOKUP($E81,$E$55:$U$63,6,FALSE))</f>
        <v/>
      </c>
      <c r="K81" s="315"/>
      <c r="L81" s="314" t="str">
        <f>IF($B80="","",VLOOKUP($E81,$E$55:$U$63,14,FALSE))</f>
        <v/>
      </c>
      <c r="M81" s="315"/>
      <c r="N81" s="314" t="str">
        <f>IF($B80="","",VLOOKUP($E81,$E$55:$U$63,16,FALSE))</f>
        <v/>
      </c>
      <c r="O81" s="315"/>
      <c r="P81" s="718" t="str">
        <f>IF(B80="","～",P$17&amp;"～"&amp;Q$19)</f>
        <v>～</v>
      </c>
      <c r="Q81" s="719"/>
      <c r="R81" s="719"/>
      <c r="S81" s="720"/>
      <c r="T81" s="842" t="str">
        <f>IF(B80="","",IF(OR(J81&lt;1,J82&lt;1,J83&lt;1),"－",ROUND((ROUND(H81/J81,2)+ROUND(H82/J82,2)+ROUND(H83/J83,2))/3,2)))</f>
        <v/>
      </c>
      <c r="U81" s="843"/>
      <c r="V81" s="842" t="str">
        <f>IF(B80="","",IF(OR(N81&lt;1,N82&lt;1,N83&lt;1),"－",ROUND((ROUND(L81/N81,2)+ROUND(L82/N82,2)+ROUND(L83/N83,2))/3,2)))</f>
        <v/>
      </c>
      <c r="W81" s="843"/>
      <c r="X81" s="825" t="str">
        <f>IF(B80="","",IF(OR(T81="－",V81="－"),"－",ROUND(T81/V81,2)))</f>
        <v/>
      </c>
      <c r="Y81" s="826"/>
      <c r="Z81" s="10"/>
    </row>
    <row r="82" spans="2:28" s="9" customFormat="1" ht="17.25" customHeight="1" x14ac:dyDescent="0.15">
      <c r="B82" s="564"/>
      <c r="C82" s="349"/>
      <c r="D82" s="565"/>
      <c r="E82" s="28" t="str">
        <f>IF(B80="","",B80&amp;F82)</f>
        <v/>
      </c>
      <c r="F82" s="444" t="str">
        <f>IF(AND($X$64="非該当",$B80&lt;&gt;""),DATE(YEAR($I$27)-2,MONTH($I$27),DAY($I$27)),"")</f>
        <v/>
      </c>
      <c r="G82" s="446"/>
      <c r="H82" s="314" t="str">
        <f>IF($B80="","",VLOOKUP($E82,$E$55:$U$63,4,FALSE))</f>
        <v/>
      </c>
      <c r="I82" s="315"/>
      <c r="J82" s="314" t="str">
        <f>IF($B80="","",VLOOKUP($E82,$E$55:$U$63,6,FALSE))</f>
        <v/>
      </c>
      <c r="K82" s="315"/>
      <c r="L82" s="314" t="str">
        <f>IF($B80="","",VLOOKUP($E82,$E$55:$U$63,14,FALSE))</f>
        <v/>
      </c>
      <c r="M82" s="315"/>
      <c r="N82" s="314" t="str">
        <f>IF($B80="","",VLOOKUP($E82,$E$55:$U$63,16,FALSE))</f>
        <v/>
      </c>
      <c r="O82" s="315"/>
      <c r="P82" s="718" t="str">
        <f>IF(B80="","～",P$18&amp;"～"&amp;Q$20)</f>
        <v>～</v>
      </c>
      <c r="Q82" s="719"/>
      <c r="R82" s="719"/>
      <c r="S82" s="720"/>
      <c r="T82" s="842" t="str">
        <f>IF(B80="","",IF(OR(J82&lt;1,J83&lt;1,J84&lt;1),"－",ROUND((ROUND(H82/J82,2)+ROUND(H83/J83,2)+ROUND(H84/J84,2))/3,2)))</f>
        <v/>
      </c>
      <c r="U82" s="843"/>
      <c r="V82" s="842" t="str">
        <f>IF(B80="","",IF(OR(N82&lt;1,N83&lt;1,N84&lt;1),"－",ROUND((ROUND(L82/N82,2)+ROUND(L83/N83,2)+ROUND(L84/N84,2))/3,2)))</f>
        <v/>
      </c>
      <c r="W82" s="843"/>
      <c r="X82" s="825" t="str">
        <f>IF(B80="","",IF(OR(T82="－",V82="－"),"－",ROUND(T82/V82,2)))</f>
        <v/>
      </c>
      <c r="Y82" s="826"/>
      <c r="Z82" s="10"/>
    </row>
    <row r="83" spans="2:28" s="9" customFormat="1" ht="17.25" customHeight="1" x14ac:dyDescent="0.15">
      <c r="B83" s="564"/>
      <c r="C83" s="349"/>
      <c r="D83" s="565"/>
      <c r="E83" s="28"/>
      <c r="F83" s="444" t="str">
        <f>IF(AND($X$64="非該当",$B80&lt;&gt;""),DATE(YEAR($I$27)-3,MONTH($I$27),DAY($I$27)),"")</f>
        <v/>
      </c>
      <c r="G83" s="446"/>
      <c r="H83" s="318"/>
      <c r="I83" s="319"/>
      <c r="J83" s="318"/>
      <c r="K83" s="319"/>
      <c r="L83" s="318"/>
      <c r="M83" s="319"/>
      <c r="N83" s="318"/>
      <c r="O83" s="319"/>
      <c r="P83" s="80"/>
      <c r="Q83" s="81"/>
      <c r="R83" s="81"/>
      <c r="S83" s="81"/>
      <c r="T83" s="81"/>
      <c r="U83" s="81"/>
      <c r="V83" s="81"/>
      <c r="W83" s="81"/>
      <c r="X83" s="81"/>
      <c r="Y83" s="82"/>
      <c r="Z83" s="10"/>
    </row>
    <row r="84" spans="2:28" s="9" customFormat="1" ht="17.25" customHeight="1" x14ac:dyDescent="0.15">
      <c r="B84" s="566"/>
      <c r="C84" s="567"/>
      <c r="D84" s="568"/>
      <c r="E84" s="30"/>
      <c r="F84" s="444" t="str">
        <f>IF(AND($X$64="非該当",$B80&lt;&gt;""),DATE(YEAR($I$27)-4,MONTH($I$27),DAY($I$27)),"")</f>
        <v/>
      </c>
      <c r="G84" s="446"/>
      <c r="H84" s="318"/>
      <c r="I84" s="319"/>
      <c r="J84" s="318"/>
      <c r="K84" s="319"/>
      <c r="L84" s="318"/>
      <c r="M84" s="319"/>
      <c r="N84" s="318"/>
      <c r="O84" s="319"/>
      <c r="P84" s="83"/>
      <c r="Q84" s="84"/>
      <c r="R84" s="84"/>
      <c r="S84" s="84"/>
      <c r="T84" s="84"/>
      <c r="U84" s="84"/>
      <c r="V84" s="84"/>
      <c r="W84" s="84"/>
      <c r="X84" s="84"/>
      <c r="Y84" s="85"/>
      <c r="Z84" s="10"/>
    </row>
    <row r="85" spans="2:28" ht="17.25" customHeight="1" x14ac:dyDescent="0.15">
      <c r="Z85" s="10"/>
    </row>
    <row r="86" spans="2:28" ht="17.25" customHeight="1" x14ac:dyDescent="0.15">
      <c r="B86" s="1" t="s">
        <v>155</v>
      </c>
      <c r="AA86" s="169" t="str">
        <f>IF(G$23="","",G$23)</f>
        <v/>
      </c>
    </row>
    <row r="87" spans="2:28" ht="17.25" customHeight="1" x14ac:dyDescent="0.15"/>
    <row r="88" spans="2:28" ht="17.25" customHeight="1" x14ac:dyDescent="0.15">
      <c r="B88" s="18" t="s">
        <v>129</v>
      </c>
    </row>
    <row r="89" spans="2:28" ht="17.25" customHeight="1" thickBot="1" x14ac:dyDescent="0.2">
      <c r="B89" s="1" t="s">
        <v>51</v>
      </c>
    </row>
    <row r="90" spans="2:28" s="9" customFormat="1" ht="47.25" customHeight="1" thickTop="1" x14ac:dyDescent="0.15">
      <c r="B90" s="822"/>
      <c r="C90" s="823"/>
      <c r="D90" s="824"/>
      <c r="E90" s="71"/>
      <c r="F90" s="409" t="s">
        <v>5</v>
      </c>
      <c r="G90" s="367"/>
      <c r="H90" s="368"/>
      <c r="I90" s="409" t="s">
        <v>8</v>
      </c>
      <c r="J90" s="410"/>
      <c r="K90" s="411"/>
      <c r="L90" s="409" t="s">
        <v>9</v>
      </c>
      <c r="M90" s="367"/>
      <c r="N90" s="368"/>
      <c r="O90" s="366" t="s">
        <v>11</v>
      </c>
      <c r="P90" s="367"/>
      <c r="Q90" s="367"/>
      <c r="R90" s="478" t="s">
        <v>10</v>
      </c>
      <c r="S90" s="479"/>
      <c r="T90" s="480"/>
      <c r="U90" s="478" t="s">
        <v>234</v>
      </c>
      <c r="V90" s="479"/>
      <c r="W90" s="479"/>
      <c r="X90" s="479"/>
      <c r="Y90" s="480"/>
      <c r="Z90" s="831" t="s">
        <v>50</v>
      </c>
      <c r="AA90" s="832"/>
    </row>
    <row r="91" spans="2:28" s="9" customFormat="1" ht="17.25" customHeight="1" x14ac:dyDescent="0.15">
      <c r="B91" s="833"/>
      <c r="C91" s="834"/>
      <c r="D91" s="835"/>
      <c r="E91" s="71"/>
      <c r="F91" s="485" t="str">
        <f>IF($I$27="","",$I$27)</f>
        <v/>
      </c>
      <c r="G91" s="486"/>
      <c r="H91" s="487"/>
      <c r="I91" s="808"/>
      <c r="J91" s="809"/>
      <c r="K91" s="810"/>
      <c r="L91" s="808"/>
      <c r="M91" s="809"/>
      <c r="N91" s="810"/>
      <c r="O91" s="811" t="str">
        <f>IF(F91="","",I91+L91)</f>
        <v/>
      </c>
      <c r="P91" s="812"/>
      <c r="Q91" s="812"/>
      <c r="R91" s="503" t="str">
        <f>IF(F91="","",ROUND(I91/O91,3))</f>
        <v/>
      </c>
      <c r="S91" s="504"/>
      <c r="T91" s="505"/>
      <c r="U91" s="839" t="str">
        <f>IF(R25="","",R25)</f>
        <v/>
      </c>
      <c r="V91" s="840"/>
      <c r="W91" s="840"/>
      <c r="X91" s="840"/>
      <c r="Y91" s="841"/>
      <c r="Z91" s="827"/>
      <c r="AA91" s="828"/>
    </row>
    <row r="92" spans="2:28" s="9" customFormat="1" ht="17.25" customHeight="1" thickBot="1" x14ac:dyDescent="0.2">
      <c r="B92" s="836"/>
      <c r="C92" s="837"/>
      <c r="D92" s="838"/>
      <c r="E92" s="71"/>
      <c r="F92" s="488"/>
      <c r="G92" s="489"/>
      <c r="H92" s="490"/>
      <c r="I92" s="805"/>
      <c r="J92" s="806"/>
      <c r="K92" s="807"/>
      <c r="L92" s="805"/>
      <c r="M92" s="806"/>
      <c r="N92" s="807"/>
      <c r="O92" s="813"/>
      <c r="P92" s="814"/>
      <c r="Q92" s="814"/>
      <c r="R92" s="506"/>
      <c r="S92" s="507"/>
      <c r="T92" s="508"/>
      <c r="U92" s="796"/>
      <c r="V92" s="797"/>
      <c r="W92" s="797"/>
      <c r="X92" s="797"/>
      <c r="Y92" s="798"/>
      <c r="Z92" s="829"/>
      <c r="AA92" s="830"/>
    </row>
    <row r="93" spans="2:28" ht="17.25" customHeight="1" thickTop="1" x14ac:dyDescent="0.15">
      <c r="V93" s="10" t="str">
        <f>IF(G23="","",IF(U92="","上段に産業分類、下段に産業平均値（%）を記載↑ ",""))</f>
        <v/>
      </c>
      <c r="Y93" s="41"/>
      <c r="AA93" s="35" t="str">
        <f>IF(G23="","",IF(Z91="","リストから選択↑　",""))</f>
        <v/>
      </c>
    </row>
    <row r="94" spans="2:28" ht="17.25" customHeight="1" x14ac:dyDescent="0.15">
      <c r="B94" s="9" t="s">
        <v>208</v>
      </c>
      <c r="U94" s="10"/>
      <c r="V94" s="10"/>
      <c r="W94" s="10"/>
      <c r="X94" s="10"/>
      <c r="Y94" s="10"/>
      <c r="Z94" s="10"/>
      <c r="AA94" s="10"/>
      <c r="AB94" s="10"/>
    </row>
    <row r="95" spans="2:28" s="9" customFormat="1" ht="47.25" customHeight="1" x14ac:dyDescent="0.15">
      <c r="B95" s="822"/>
      <c r="C95" s="823"/>
      <c r="D95" s="824"/>
      <c r="E95" s="71"/>
      <c r="F95" s="409" t="s">
        <v>153</v>
      </c>
      <c r="G95" s="367"/>
      <c r="H95" s="368"/>
      <c r="I95" s="409" t="s">
        <v>8</v>
      </c>
      <c r="J95" s="410"/>
      <c r="K95" s="411"/>
      <c r="L95" s="409" t="s">
        <v>9</v>
      </c>
      <c r="M95" s="367"/>
      <c r="N95" s="368"/>
      <c r="O95" s="366" t="s">
        <v>11</v>
      </c>
      <c r="P95" s="367"/>
      <c r="Q95" s="367"/>
      <c r="R95" s="409" t="s">
        <v>10</v>
      </c>
      <c r="S95" s="367"/>
      <c r="T95" s="368"/>
      <c r="U95" s="52"/>
      <c r="V95" s="44"/>
      <c r="W95" s="44"/>
      <c r="X95" s="44"/>
      <c r="Y95" s="44"/>
      <c r="Z95" s="44"/>
      <c r="AA95" s="49"/>
      <c r="AB95" s="10"/>
    </row>
    <row r="96" spans="2:28" s="9" customFormat="1" ht="17.25" customHeight="1" x14ac:dyDescent="0.15">
      <c r="B96" s="822"/>
      <c r="C96" s="823"/>
      <c r="D96" s="824"/>
      <c r="E96" s="71"/>
      <c r="F96" s="403" t="str">
        <f>IF(OR($Z$91="非該当",$Z$91="算出不能"),DATE(YEAR($I$27)-1,MONTH($I$27),DAY($I$27)),"")</f>
        <v/>
      </c>
      <c r="G96" s="404"/>
      <c r="H96" s="405"/>
      <c r="I96" s="784"/>
      <c r="J96" s="785"/>
      <c r="K96" s="786"/>
      <c r="L96" s="784"/>
      <c r="M96" s="785"/>
      <c r="N96" s="786"/>
      <c r="O96" s="787" t="str">
        <f>IF(F96="","",I96+L96)</f>
        <v/>
      </c>
      <c r="P96" s="788"/>
      <c r="Q96" s="789"/>
      <c r="R96" s="460" t="str">
        <f>IF(F96="","",ROUND(I96/O96,3))</f>
        <v/>
      </c>
      <c r="S96" s="461"/>
      <c r="T96" s="462"/>
      <c r="U96" s="366" t="s">
        <v>187</v>
      </c>
      <c r="V96" s="367"/>
      <c r="W96" s="367"/>
      <c r="X96" s="367"/>
      <c r="Y96" s="367"/>
      <c r="Z96" s="367"/>
      <c r="AA96" s="368"/>
      <c r="AB96" s="10"/>
    </row>
    <row r="97" spans="2:28" s="9" customFormat="1" ht="17.25" customHeight="1" x14ac:dyDescent="0.15">
      <c r="B97" s="822"/>
      <c r="C97" s="823"/>
      <c r="D97" s="824"/>
      <c r="E97" s="71"/>
      <c r="F97" s="403" t="str">
        <f>IF(OR($Z$91="非該当",$Z$91="算出不能"),DATE(YEAR($I$27)-2,MONTH($I$27),DAY($I$27)),"")</f>
        <v/>
      </c>
      <c r="G97" s="404"/>
      <c r="H97" s="405"/>
      <c r="I97" s="784"/>
      <c r="J97" s="785"/>
      <c r="K97" s="786"/>
      <c r="L97" s="784"/>
      <c r="M97" s="785"/>
      <c r="N97" s="786"/>
      <c r="O97" s="787" t="str">
        <f>IF(F97="","",I97+L97)</f>
        <v/>
      </c>
      <c r="P97" s="788"/>
      <c r="Q97" s="789"/>
      <c r="R97" s="460" t="str">
        <f>IF(F97="","",ROUND(I97/O97,3))</f>
        <v/>
      </c>
      <c r="S97" s="461"/>
      <c r="T97" s="462"/>
      <c r="U97" s="718" t="str">
        <f>IF(F97="","～",P16&amp;"～"&amp;Q18)</f>
        <v>～</v>
      </c>
      <c r="V97" s="719"/>
      <c r="W97" s="719"/>
      <c r="X97" s="720"/>
      <c r="Y97" s="781" t="str">
        <f>IF(F97="","",ROUND(AVERAGE(R91,R96,R97),3))</f>
        <v/>
      </c>
      <c r="Z97" s="782"/>
      <c r="AA97" s="783"/>
      <c r="AB97" s="10"/>
    </row>
    <row r="98" spans="2:28" s="9" customFormat="1" ht="17.25" customHeight="1" x14ac:dyDescent="0.15">
      <c r="B98" s="822"/>
      <c r="C98" s="823"/>
      <c r="D98" s="824"/>
      <c r="E98" s="71"/>
      <c r="F98" s="403" t="str">
        <f>IF(OR($Z$91="非該当",$Z$91="算出不能"),DATE(YEAR($I$27)-3,MONTH($I$27),DAY($I$27)),"")</f>
        <v/>
      </c>
      <c r="G98" s="404"/>
      <c r="H98" s="405"/>
      <c r="I98" s="784"/>
      <c r="J98" s="785"/>
      <c r="K98" s="786"/>
      <c r="L98" s="784"/>
      <c r="M98" s="785"/>
      <c r="N98" s="786"/>
      <c r="O98" s="787" t="str">
        <f>IF(F98="","",I98+L98)</f>
        <v/>
      </c>
      <c r="P98" s="788"/>
      <c r="Q98" s="789"/>
      <c r="R98" s="460" t="str">
        <f>IF(F98="","",ROUND(I98/O98,3))</f>
        <v/>
      </c>
      <c r="S98" s="461"/>
      <c r="T98" s="462"/>
      <c r="U98" s="718" t="str">
        <f>IF(F98="","～",P17&amp;"～"&amp;Q19)</f>
        <v>～</v>
      </c>
      <c r="V98" s="719"/>
      <c r="W98" s="719"/>
      <c r="X98" s="720"/>
      <c r="Y98" s="781" t="str">
        <f>IF(F98="","",ROUND(AVERAGE(R96,R97,R98),3))</f>
        <v/>
      </c>
      <c r="Z98" s="782"/>
      <c r="AA98" s="783"/>
      <c r="AB98" s="10"/>
    </row>
    <row r="99" spans="2:28" s="9" customFormat="1" ht="17.25" customHeight="1" x14ac:dyDescent="0.15">
      <c r="B99" s="822"/>
      <c r="C99" s="823"/>
      <c r="D99" s="824"/>
      <c r="E99" s="71"/>
      <c r="F99" s="403" t="str">
        <f>IF(OR($Z$91="非該当",$Z$91="算出不能"),DATE(YEAR($I$27)-4,MONTH($I$27),DAY($I$27)),"")</f>
        <v/>
      </c>
      <c r="G99" s="404"/>
      <c r="H99" s="405"/>
      <c r="I99" s="784"/>
      <c r="J99" s="785"/>
      <c r="K99" s="786"/>
      <c r="L99" s="784"/>
      <c r="M99" s="785"/>
      <c r="N99" s="786"/>
      <c r="O99" s="787" t="str">
        <f>IF(F99="","",I99+L99)</f>
        <v/>
      </c>
      <c r="P99" s="788"/>
      <c r="Q99" s="789"/>
      <c r="R99" s="460" t="str">
        <f>IF(F99="","",ROUND(I99/O99,3))</f>
        <v/>
      </c>
      <c r="S99" s="461"/>
      <c r="T99" s="462"/>
      <c r="U99" s="718" t="str">
        <f>IF(F99="","～",P18&amp;"～"&amp;Q20)</f>
        <v>～</v>
      </c>
      <c r="V99" s="719"/>
      <c r="W99" s="719"/>
      <c r="X99" s="720"/>
      <c r="Y99" s="781" t="str">
        <f>IF(F99="","",ROUND(AVERAGE(R97,R98,R99),3))</f>
        <v/>
      </c>
      <c r="Z99" s="782"/>
      <c r="AA99" s="783"/>
      <c r="AB99" s="10"/>
    </row>
    <row r="100" spans="2:28" ht="17.25" customHeight="1" x14ac:dyDescent="0.15">
      <c r="B100" s="43"/>
      <c r="C100" s="43"/>
      <c r="D100" s="43"/>
      <c r="U100" s="10"/>
      <c r="V100" s="10"/>
      <c r="W100" s="10"/>
      <c r="X100" s="10"/>
      <c r="Y100" s="10"/>
      <c r="Z100" s="10"/>
      <c r="AA100" s="10"/>
      <c r="AB100" s="10"/>
    </row>
    <row r="101" spans="2:28" ht="17.25" customHeight="1" x14ac:dyDescent="0.15">
      <c r="U101" s="10"/>
      <c r="V101" s="10"/>
      <c r="W101" s="10"/>
      <c r="X101" s="10"/>
      <c r="Y101" s="10"/>
      <c r="Z101" s="10"/>
      <c r="AA101" s="10"/>
      <c r="AB101" s="10"/>
    </row>
    <row r="102" spans="2:28" ht="17.25" customHeight="1" x14ac:dyDescent="0.15">
      <c r="B102" s="1" t="s">
        <v>52</v>
      </c>
      <c r="U102" s="10"/>
      <c r="V102" s="10"/>
      <c r="W102" s="10"/>
      <c r="X102" s="10"/>
      <c r="Y102" s="10"/>
    </row>
    <row r="103" spans="2:28" ht="17.25" customHeight="1" thickBot="1" x14ac:dyDescent="0.2">
      <c r="C103" s="9" t="s">
        <v>66</v>
      </c>
      <c r="E103" s="1"/>
    </row>
    <row r="104" spans="2:28" s="9" customFormat="1" ht="47.25" customHeight="1" thickTop="1" x14ac:dyDescent="0.15">
      <c r="B104" s="409" t="s">
        <v>12</v>
      </c>
      <c r="C104" s="410"/>
      <c r="D104" s="411"/>
      <c r="E104" s="74"/>
      <c r="F104" s="409" t="s">
        <v>5</v>
      </c>
      <c r="G104" s="367"/>
      <c r="H104" s="368"/>
      <c r="I104" s="409" t="s">
        <v>47</v>
      </c>
      <c r="J104" s="410"/>
      <c r="K104" s="411"/>
      <c r="L104" s="409" t="s">
        <v>49</v>
      </c>
      <c r="M104" s="367"/>
      <c r="N104" s="368"/>
      <c r="O104" s="409" t="s">
        <v>48</v>
      </c>
      <c r="P104" s="367"/>
      <c r="Q104" s="367"/>
      <c r="R104" s="478" t="s">
        <v>10</v>
      </c>
      <c r="S104" s="479"/>
      <c r="T104" s="480"/>
      <c r="U104" s="478" t="s">
        <v>235</v>
      </c>
      <c r="V104" s="479"/>
      <c r="W104" s="479"/>
      <c r="X104" s="479"/>
      <c r="Y104" s="480"/>
      <c r="Z104" s="478" t="s">
        <v>50</v>
      </c>
      <c r="AA104" s="480"/>
    </row>
    <row r="105" spans="2:28" s="9" customFormat="1" ht="17.25" customHeight="1" x14ac:dyDescent="0.15">
      <c r="B105" s="615"/>
      <c r="C105" s="616"/>
      <c r="D105" s="617"/>
      <c r="E105" s="23"/>
      <c r="F105" s="799" t="str">
        <f>IF(I30&lt;&gt;"設定あり","",$I$27)</f>
        <v/>
      </c>
      <c r="G105" s="800"/>
      <c r="H105" s="801"/>
      <c r="I105" s="802"/>
      <c r="J105" s="803"/>
      <c r="K105" s="804"/>
      <c r="L105" s="808"/>
      <c r="M105" s="809"/>
      <c r="N105" s="810"/>
      <c r="O105" s="811" t="str">
        <f>IF(F105="","",I105+L105)</f>
        <v/>
      </c>
      <c r="P105" s="812"/>
      <c r="Q105" s="812"/>
      <c r="R105" s="503" t="str">
        <f>IF(F105="","",ROUND(I105/O105,3))</f>
        <v/>
      </c>
      <c r="S105" s="504"/>
      <c r="T105" s="505"/>
      <c r="U105" s="815" t="str">
        <f>IF(F105="","",R25)</f>
        <v/>
      </c>
      <c r="V105" s="816"/>
      <c r="W105" s="816"/>
      <c r="X105" s="816"/>
      <c r="Y105" s="817"/>
      <c r="Z105" s="818"/>
      <c r="AA105" s="819"/>
    </row>
    <row r="106" spans="2:28" s="9" customFormat="1" ht="17.25" customHeight="1" thickBot="1" x14ac:dyDescent="0.2">
      <c r="B106" s="618"/>
      <c r="C106" s="619"/>
      <c r="D106" s="620"/>
      <c r="E106" s="23"/>
      <c r="F106" s="488"/>
      <c r="G106" s="489"/>
      <c r="H106" s="490"/>
      <c r="I106" s="805"/>
      <c r="J106" s="806"/>
      <c r="K106" s="807"/>
      <c r="L106" s="805"/>
      <c r="M106" s="806"/>
      <c r="N106" s="807"/>
      <c r="O106" s="813"/>
      <c r="P106" s="814"/>
      <c r="Q106" s="814"/>
      <c r="R106" s="506"/>
      <c r="S106" s="507"/>
      <c r="T106" s="508"/>
      <c r="U106" s="796"/>
      <c r="V106" s="797"/>
      <c r="W106" s="797"/>
      <c r="X106" s="797"/>
      <c r="Y106" s="798"/>
      <c r="Z106" s="820"/>
      <c r="AA106" s="821"/>
    </row>
    <row r="107" spans="2:28" ht="17.25" customHeight="1" thickTop="1" x14ac:dyDescent="0.15">
      <c r="V107" s="10" t="str">
        <f>IF(B105="","",IF(U106="","上段に産業分類、下段に産業平均値を記載↑ ",""))</f>
        <v/>
      </c>
      <c r="Y107" s="41"/>
      <c r="AA107" s="35" t="str">
        <f>IF(B105="","",IF(Z105="","リストから選択↑　",""))</f>
        <v/>
      </c>
    </row>
    <row r="108" spans="2:28" ht="17.25" customHeight="1" x14ac:dyDescent="0.15">
      <c r="B108" s="9" t="s">
        <v>209</v>
      </c>
      <c r="U108" s="10"/>
      <c r="V108" s="10"/>
      <c r="W108" s="10"/>
      <c r="X108" s="10"/>
      <c r="Y108" s="10"/>
      <c r="Z108" s="10"/>
      <c r="AA108" s="10"/>
      <c r="AB108" s="10"/>
    </row>
    <row r="109" spans="2:28" s="9" customFormat="1" ht="47.25" customHeight="1" x14ac:dyDescent="0.15">
      <c r="B109" s="409" t="s">
        <v>12</v>
      </c>
      <c r="C109" s="410"/>
      <c r="D109" s="411"/>
      <c r="E109" s="22"/>
      <c r="F109" s="409" t="s">
        <v>163</v>
      </c>
      <c r="G109" s="367"/>
      <c r="H109" s="368"/>
      <c r="I109" s="409" t="s">
        <v>47</v>
      </c>
      <c r="J109" s="410"/>
      <c r="K109" s="411"/>
      <c r="L109" s="409" t="s">
        <v>49</v>
      </c>
      <c r="M109" s="367"/>
      <c r="N109" s="368"/>
      <c r="O109" s="409" t="s">
        <v>48</v>
      </c>
      <c r="P109" s="367"/>
      <c r="Q109" s="367"/>
      <c r="R109" s="409" t="s">
        <v>10</v>
      </c>
      <c r="S109" s="367"/>
      <c r="T109" s="368"/>
      <c r="U109" s="52"/>
      <c r="V109" s="44"/>
      <c r="W109" s="44"/>
      <c r="X109" s="44"/>
      <c r="Y109" s="44"/>
      <c r="Z109" s="44"/>
      <c r="AA109" s="49"/>
      <c r="AB109" s="10"/>
    </row>
    <row r="110" spans="2:28" s="9" customFormat="1" ht="17.25" customHeight="1" x14ac:dyDescent="0.15">
      <c r="B110" s="513" t="str">
        <f>IF(F110="","",B105)</f>
        <v/>
      </c>
      <c r="C110" s="514"/>
      <c r="D110" s="515"/>
      <c r="E110" s="24"/>
      <c r="F110" s="403" t="str">
        <f>IF(AND(F$105&lt;&gt;"",OR($Z$105="非該当",$Z$105="算出不能")),DATE(YEAR($I$27)-1,MONTH($I$27),DAY($I$27)),"")</f>
        <v/>
      </c>
      <c r="G110" s="404"/>
      <c r="H110" s="405"/>
      <c r="I110" s="784"/>
      <c r="J110" s="785"/>
      <c r="K110" s="786"/>
      <c r="L110" s="784"/>
      <c r="M110" s="785"/>
      <c r="N110" s="786"/>
      <c r="O110" s="787" t="str">
        <f>IF(F110="","",I110+L110)</f>
        <v/>
      </c>
      <c r="P110" s="788"/>
      <c r="Q110" s="789"/>
      <c r="R110" s="460" t="str">
        <f>IF(F110="","",ROUND(I110/O110,3))</f>
        <v/>
      </c>
      <c r="S110" s="461"/>
      <c r="T110" s="462"/>
      <c r="U110" s="366" t="s">
        <v>187</v>
      </c>
      <c r="V110" s="367"/>
      <c r="W110" s="367"/>
      <c r="X110" s="367"/>
      <c r="Y110" s="367"/>
      <c r="Z110" s="367"/>
      <c r="AA110" s="368"/>
      <c r="AB110" s="10"/>
    </row>
    <row r="111" spans="2:28" s="9" customFormat="1" ht="17.25" customHeight="1" x14ac:dyDescent="0.15">
      <c r="B111" s="790"/>
      <c r="C111" s="791"/>
      <c r="D111" s="792"/>
      <c r="E111" s="24"/>
      <c r="F111" s="403" t="str">
        <f>IF(AND(F$105&lt;&gt;"",OR($Z$105="非該当",$Z$105="算出不能")),DATE(YEAR($I$27)-2,MONTH($I$27),DAY($I$27)),"")</f>
        <v/>
      </c>
      <c r="G111" s="404"/>
      <c r="H111" s="405"/>
      <c r="I111" s="784"/>
      <c r="J111" s="785"/>
      <c r="K111" s="786"/>
      <c r="L111" s="784"/>
      <c r="M111" s="785"/>
      <c r="N111" s="786"/>
      <c r="O111" s="787" t="str">
        <f>IF(F111="","",I111+L111)</f>
        <v/>
      </c>
      <c r="P111" s="788"/>
      <c r="Q111" s="789"/>
      <c r="R111" s="460" t="str">
        <f>IF(F111="","",ROUND(I111/O111,3))</f>
        <v/>
      </c>
      <c r="S111" s="461"/>
      <c r="T111" s="462"/>
      <c r="U111" s="718" t="str">
        <f>IF(F111="","～",P16&amp;"～"&amp;Q18)</f>
        <v>～</v>
      </c>
      <c r="V111" s="719"/>
      <c r="W111" s="719"/>
      <c r="X111" s="720"/>
      <c r="Y111" s="781" t="str">
        <f>IF(F111="","",ROUND(AVERAGE(R105,R110,R111),3))</f>
        <v/>
      </c>
      <c r="Z111" s="782"/>
      <c r="AA111" s="783"/>
      <c r="AB111" s="10"/>
    </row>
    <row r="112" spans="2:28" s="9" customFormat="1" ht="17.25" customHeight="1" x14ac:dyDescent="0.15">
      <c r="B112" s="790"/>
      <c r="C112" s="791"/>
      <c r="D112" s="792"/>
      <c r="E112" s="24"/>
      <c r="F112" s="403" t="str">
        <f>IF(AND(F$105&lt;&gt;"",OR($Z$105="非該当",$Z$105="算出不能")),DATE(YEAR($I$27)-3,MONTH($I$27),DAY($I$27)),"")</f>
        <v/>
      </c>
      <c r="G112" s="404"/>
      <c r="H112" s="405"/>
      <c r="I112" s="784"/>
      <c r="J112" s="785"/>
      <c r="K112" s="786"/>
      <c r="L112" s="784"/>
      <c r="M112" s="785"/>
      <c r="N112" s="786"/>
      <c r="O112" s="787" t="str">
        <f>IF(F112="","",I112+L112)</f>
        <v/>
      </c>
      <c r="P112" s="788"/>
      <c r="Q112" s="789"/>
      <c r="R112" s="460" t="str">
        <f>IF(F112="","",ROUND(I112/O112,3))</f>
        <v/>
      </c>
      <c r="S112" s="461"/>
      <c r="T112" s="462"/>
      <c r="U112" s="718" t="str">
        <f>IF(F112="","～",P17&amp;"～"&amp;Q19)</f>
        <v>～</v>
      </c>
      <c r="V112" s="719"/>
      <c r="W112" s="719"/>
      <c r="X112" s="720"/>
      <c r="Y112" s="781" t="str">
        <f>IF(F112="","",ROUND(AVERAGE(R110,R111,R112),3))</f>
        <v/>
      </c>
      <c r="Z112" s="782"/>
      <c r="AA112" s="783"/>
      <c r="AB112" s="10"/>
    </row>
    <row r="113" spans="1:28" s="9" customFormat="1" ht="17.25" customHeight="1" x14ac:dyDescent="0.15">
      <c r="B113" s="793"/>
      <c r="C113" s="794"/>
      <c r="D113" s="795"/>
      <c r="E113" s="24"/>
      <c r="F113" s="403" t="str">
        <f>IF(AND(F$105&lt;&gt;"",OR($Z$105="非該当",$Z$105="算出不能")),DATE(YEAR($I$27)-4,MONTH($I$27),DAY($I$27)),"")</f>
        <v/>
      </c>
      <c r="G113" s="404"/>
      <c r="H113" s="405"/>
      <c r="I113" s="784"/>
      <c r="J113" s="785"/>
      <c r="K113" s="786"/>
      <c r="L113" s="784"/>
      <c r="M113" s="785"/>
      <c r="N113" s="786"/>
      <c r="O113" s="787" t="str">
        <f>IF(F113="","",I113+L113)</f>
        <v/>
      </c>
      <c r="P113" s="788"/>
      <c r="Q113" s="789"/>
      <c r="R113" s="460" t="str">
        <f>IF(F113="","",ROUND(I113/O113,3))</f>
        <v/>
      </c>
      <c r="S113" s="461"/>
      <c r="T113" s="462"/>
      <c r="U113" s="718" t="str">
        <f>IF(F113="","～",P18&amp;"～"&amp;Q20)</f>
        <v>～</v>
      </c>
      <c r="V113" s="719"/>
      <c r="W113" s="719"/>
      <c r="X113" s="720"/>
      <c r="Y113" s="781" t="str">
        <f>IF(F113="","",ROUND(AVERAGE(R111,R112,R113),3))</f>
        <v/>
      </c>
      <c r="Z113" s="782"/>
      <c r="AA113" s="783"/>
      <c r="AB113" s="10"/>
    </row>
    <row r="114" spans="1:28" ht="17.25" customHeight="1" x14ac:dyDescent="0.15">
      <c r="A114" s="43"/>
      <c r="B114" s="43"/>
      <c r="C114" s="43"/>
      <c r="D114" s="43"/>
      <c r="F114" s="43"/>
      <c r="H114" s="8"/>
    </row>
    <row r="115" spans="1:28" ht="30.75" customHeight="1" x14ac:dyDescent="0.15">
      <c r="B115" s="2" t="s">
        <v>156</v>
      </c>
      <c r="H115" s="2"/>
      <c r="AA115" s="169" t="str">
        <f>IF(G$23="","",G$23)</f>
        <v/>
      </c>
    </row>
    <row r="116" spans="1:28" s="3" customFormat="1" ht="17.25" customHeight="1" x14ac:dyDescent="0.15">
      <c r="B116" s="372" t="s">
        <v>148</v>
      </c>
      <c r="C116" s="373"/>
      <c r="D116" s="373"/>
      <c r="E116" s="373"/>
      <c r="F116" s="373"/>
      <c r="G116" s="373"/>
      <c r="H116" s="373"/>
      <c r="I116" s="373"/>
      <c r="J116" s="373"/>
      <c r="K116" s="373"/>
      <c r="L116" s="373"/>
      <c r="M116" s="373"/>
      <c r="N116" s="373"/>
      <c r="O116" s="373"/>
      <c r="P116" s="373"/>
      <c r="Q116" s="373"/>
      <c r="R116" s="373"/>
      <c r="S116" s="373"/>
      <c r="T116" s="373"/>
      <c r="U116" s="373"/>
      <c r="V116" s="373"/>
      <c r="W116" s="373"/>
      <c r="X116" s="373"/>
      <c r="Y116" s="373"/>
      <c r="Z116" s="373"/>
      <c r="AA116" s="374"/>
    </row>
    <row r="117" spans="1:28" s="13" customFormat="1" ht="17.25" customHeight="1" x14ac:dyDescent="0.15">
      <c r="B117" s="357" t="s">
        <v>126</v>
      </c>
      <c r="C117" s="358"/>
      <c r="D117" s="358"/>
      <c r="E117" s="358"/>
      <c r="F117" s="358"/>
      <c r="G117" s="358"/>
      <c r="H117" s="358"/>
      <c r="I117" s="358"/>
      <c r="J117" s="358"/>
      <c r="K117" s="358"/>
      <c r="L117" s="358"/>
      <c r="M117" s="358"/>
      <c r="N117" s="358"/>
      <c r="O117" s="358"/>
      <c r="P117" s="358"/>
      <c r="Q117" s="358"/>
      <c r="R117" s="358"/>
      <c r="S117" s="358"/>
      <c r="T117" s="358"/>
      <c r="U117" s="358"/>
      <c r="V117" s="358"/>
      <c r="W117" s="358"/>
      <c r="X117" s="358"/>
      <c r="Y117" s="358"/>
      <c r="Z117" s="358"/>
      <c r="AA117" s="359"/>
    </row>
    <row r="118" spans="1:28" s="13" customFormat="1" ht="27" customHeight="1" x14ac:dyDescent="0.15">
      <c r="B118" s="357" t="s">
        <v>87</v>
      </c>
      <c r="C118" s="509"/>
      <c r="D118" s="509"/>
      <c r="E118" s="509"/>
      <c r="F118" s="509"/>
      <c r="G118" s="509"/>
      <c r="H118" s="509"/>
      <c r="I118" s="509"/>
      <c r="J118" s="509"/>
      <c r="K118" s="509"/>
      <c r="L118" s="509"/>
      <c r="M118" s="509"/>
      <c r="N118" s="509"/>
      <c r="O118" s="509"/>
      <c r="P118" s="509"/>
      <c r="Q118" s="509"/>
      <c r="R118" s="509"/>
      <c r="S118" s="509"/>
      <c r="T118" s="509"/>
      <c r="U118" s="509"/>
      <c r="V118" s="509"/>
      <c r="W118" s="509"/>
      <c r="X118" s="509"/>
      <c r="Y118" s="509"/>
      <c r="Z118" s="509"/>
      <c r="AA118" s="510"/>
    </row>
    <row r="119" spans="1:28" s="13" customFormat="1" ht="37.5" customHeight="1" x14ac:dyDescent="0.15">
      <c r="B119" s="357" t="s">
        <v>89</v>
      </c>
      <c r="C119" s="509"/>
      <c r="D119" s="509"/>
      <c r="E119" s="509"/>
      <c r="F119" s="509"/>
      <c r="G119" s="509"/>
      <c r="H119" s="509"/>
      <c r="I119" s="509"/>
      <c r="J119" s="509"/>
      <c r="K119" s="509"/>
      <c r="L119" s="509"/>
      <c r="M119" s="509"/>
      <c r="N119" s="509"/>
      <c r="O119" s="509"/>
      <c r="P119" s="509"/>
      <c r="Q119" s="509"/>
      <c r="R119" s="509"/>
      <c r="S119" s="509"/>
      <c r="T119" s="509"/>
      <c r="U119" s="509"/>
      <c r="V119" s="509"/>
      <c r="W119" s="509"/>
      <c r="X119" s="509"/>
      <c r="Y119" s="509"/>
      <c r="Z119" s="509"/>
      <c r="AA119" s="510"/>
      <c r="AB119" s="13" t="s">
        <v>88</v>
      </c>
    </row>
    <row r="120" spans="1:28" s="13" customFormat="1" ht="27" customHeight="1" x14ac:dyDescent="0.15">
      <c r="B120" s="360" t="s">
        <v>127</v>
      </c>
      <c r="C120" s="361"/>
      <c r="D120" s="361"/>
      <c r="E120" s="361"/>
      <c r="F120" s="361"/>
      <c r="G120" s="361"/>
      <c r="H120" s="361"/>
      <c r="I120" s="361"/>
      <c r="J120" s="361"/>
      <c r="K120" s="361"/>
      <c r="L120" s="361"/>
      <c r="M120" s="361"/>
      <c r="N120" s="361"/>
      <c r="O120" s="361"/>
      <c r="P120" s="361"/>
      <c r="Q120" s="361"/>
      <c r="R120" s="361"/>
      <c r="S120" s="361"/>
      <c r="T120" s="361"/>
      <c r="U120" s="361"/>
      <c r="V120" s="361"/>
      <c r="W120" s="361"/>
      <c r="X120" s="361"/>
      <c r="Y120" s="361"/>
      <c r="Z120" s="361"/>
      <c r="AA120" s="362"/>
    </row>
    <row r="121" spans="1:28" ht="17.25" customHeight="1" x14ac:dyDescent="0.15">
      <c r="H121" s="8"/>
    </row>
    <row r="122" spans="1:28" ht="17.25" customHeight="1" x14ac:dyDescent="0.15">
      <c r="B122" s="18" t="s">
        <v>130</v>
      </c>
    </row>
    <row r="123" spans="1:28" ht="17.25" customHeight="1" x14ac:dyDescent="0.15">
      <c r="B123" s="1" t="s">
        <v>53</v>
      </c>
    </row>
    <row r="124" spans="1:28" ht="16.5" customHeight="1" thickBot="1" x14ac:dyDescent="0.2">
      <c r="C124" s="562" t="s">
        <v>242</v>
      </c>
      <c r="D124" s="563"/>
      <c r="E124" s="563"/>
      <c r="F124" s="563"/>
      <c r="G124" s="563"/>
      <c r="H124" s="563"/>
      <c r="I124" s="563"/>
      <c r="J124" s="563"/>
      <c r="K124" s="563"/>
      <c r="L124" s="563"/>
      <c r="M124" s="563"/>
      <c r="N124" s="563"/>
      <c r="O124" s="563"/>
      <c r="P124" s="563"/>
      <c r="Q124" s="563"/>
      <c r="R124" s="563"/>
      <c r="S124" s="563"/>
      <c r="T124" s="563"/>
      <c r="U124" s="563"/>
      <c r="V124" s="563"/>
      <c r="W124" s="563"/>
      <c r="X124" s="563"/>
      <c r="Y124" s="563"/>
      <c r="Z124" s="563"/>
      <c r="AA124" s="563"/>
    </row>
    <row r="125" spans="1:28" s="9" customFormat="1" ht="47.25" customHeight="1" thickTop="1" x14ac:dyDescent="0.15">
      <c r="B125" s="409" t="s">
        <v>5</v>
      </c>
      <c r="C125" s="410"/>
      <c r="D125" s="411"/>
      <c r="E125" s="53"/>
      <c r="F125" s="366" t="s">
        <v>0</v>
      </c>
      <c r="G125" s="367"/>
      <c r="H125" s="368"/>
      <c r="I125" s="409" t="s">
        <v>165</v>
      </c>
      <c r="J125" s="410"/>
      <c r="K125" s="410"/>
      <c r="L125" s="411"/>
      <c r="M125" s="409" t="s">
        <v>166</v>
      </c>
      <c r="N125" s="410"/>
      <c r="O125" s="410"/>
      <c r="P125" s="410"/>
      <c r="Q125" s="409" t="s">
        <v>176</v>
      </c>
      <c r="R125" s="410"/>
      <c r="S125" s="410"/>
      <c r="T125" s="410"/>
      <c r="U125" s="478" t="s">
        <v>210</v>
      </c>
      <c r="V125" s="779"/>
      <c r="W125" s="779"/>
      <c r="X125" s="780"/>
      <c r="Y125" s="15"/>
      <c r="Z125" s="15"/>
      <c r="AA125" s="15"/>
    </row>
    <row r="126" spans="1:28" s="9" customFormat="1" ht="17.25" customHeight="1" x14ac:dyDescent="0.15">
      <c r="B126" s="764" t="str">
        <f>IF($I$27="","",$I$27)</f>
        <v/>
      </c>
      <c r="C126" s="765"/>
      <c r="D126" s="766"/>
      <c r="E126" s="54"/>
      <c r="F126" s="773"/>
      <c r="G126" s="774"/>
      <c r="H126" s="775"/>
      <c r="I126" s="776"/>
      <c r="J126" s="777"/>
      <c r="K126" s="777"/>
      <c r="L126" s="778"/>
      <c r="M126" s="776"/>
      <c r="N126" s="777"/>
      <c r="O126" s="777"/>
      <c r="P126" s="777"/>
      <c r="Q126" s="282" t="str">
        <f>IF(F126="","",IF(M126&lt;=0,"－",ROUND(I126/M126,2)))</f>
        <v/>
      </c>
      <c r="R126" s="283"/>
      <c r="S126" s="283"/>
      <c r="T126" s="283"/>
      <c r="U126" s="753" t="str">
        <f>IF(F126="","",IF(M126&lt;=0,"算出不能",IF(AND(I126&gt;0,M126&gt;0,Q126&gt;=0.7),"Ｃ≧0.7",IF(AND(I126&gt;0,M126&gt;0,Q126&lt;0.7),"Ｃ＜0.7"))))</f>
        <v/>
      </c>
      <c r="V126" s="754"/>
      <c r="W126" s="754"/>
      <c r="X126" s="755"/>
      <c r="Y126" s="15"/>
      <c r="Z126" s="15"/>
    </row>
    <row r="127" spans="1:28" s="9" customFormat="1" ht="17.25" customHeight="1" x14ac:dyDescent="0.15">
      <c r="B127" s="767"/>
      <c r="C127" s="768"/>
      <c r="D127" s="769"/>
      <c r="E127" s="55"/>
      <c r="F127" s="773"/>
      <c r="G127" s="774"/>
      <c r="H127" s="775"/>
      <c r="I127" s="776"/>
      <c r="J127" s="777"/>
      <c r="K127" s="777"/>
      <c r="L127" s="778"/>
      <c r="M127" s="776"/>
      <c r="N127" s="777"/>
      <c r="O127" s="777"/>
      <c r="P127" s="777"/>
      <c r="Q127" s="282" t="str">
        <f t="shared" ref="Q127:Q128" si="3">IF(F127="","",IF(M127&lt;=0,"－",ROUND(I127/M127,2)))</f>
        <v/>
      </c>
      <c r="R127" s="283"/>
      <c r="S127" s="283"/>
      <c r="T127" s="283"/>
      <c r="U127" s="753" t="str">
        <f t="shared" ref="U127:U128" si="4">IF(F127="","",IF(M127&lt;=0,"算出不能",IF(AND(I127&gt;0,M127&gt;0,Q127&gt;=0.7),"Ｃ≧0.7",IF(AND(I127&gt;0,M127&gt;0,Q127&lt;0.7),"Ｃ＜0.7"))))</f>
        <v/>
      </c>
      <c r="V127" s="754"/>
      <c r="W127" s="754"/>
      <c r="X127" s="755"/>
      <c r="Y127" s="15"/>
      <c r="Z127" s="15"/>
      <c r="AA127" s="36"/>
    </row>
    <row r="128" spans="1:28" s="9" customFormat="1" ht="17.25" customHeight="1" thickBot="1" x14ac:dyDescent="0.2">
      <c r="B128" s="770"/>
      <c r="C128" s="771"/>
      <c r="D128" s="772"/>
      <c r="E128" s="56"/>
      <c r="F128" s="612"/>
      <c r="G128" s="613"/>
      <c r="H128" s="614"/>
      <c r="I128" s="756"/>
      <c r="J128" s="757"/>
      <c r="K128" s="757"/>
      <c r="L128" s="758"/>
      <c r="M128" s="756"/>
      <c r="N128" s="757"/>
      <c r="O128" s="757"/>
      <c r="P128" s="757"/>
      <c r="Q128" s="759" t="str">
        <f t="shared" si="3"/>
        <v/>
      </c>
      <c r="R128" s="760"/>
      <c r="S128" s="760"/>
      <c r="T128" s="760"/>
      <c r="U128" s="761" t="str">
        <f t="shared" si="4"/>
        <v/>
      </c>
      <c r="V128" s="762"/>
      <c r="W128" s="762"/>
      <c r="X128" s="763"/>
      <c r="Y128" s="15"/>
      <c r="Z128" s="15"/>
      <c r="AA128" s="36"/>
    </row>
    <row r="129" spans="2:27" ht="27.75" customHeight="1" thickTop="1" thickBot="1" x14ac:dyDescent="0.2">
      <c r="C129" s="66"/>
      <c r="D129" s="66"/>
      <c r="E129" s="66"/>
      <c r="F129" s="688" t="s">
        <v>195</v>
      </c>
      <c r="G129" s="689"/>
      <c r="H129" s="689"/>
      <c r="I129" s="689"/>
      <c r="J129" s="689"/>
      <c r="K129" s="689"/>
      <c r="L129" s="689"/>
      <c r="M129" s="689"/>
      <c r="N129" s="689"/>
      <c r="O129" s="689"/>
      <c r="P129" s="689"/>
      <c r="Q129" s="689"/>
      <c r="R129" s="689"/>
      <c r="S129" s="689"/>
      <c r="T129" s="689"/>
      <c r="U129" s="751"/>
      <c r="V129" s="751"/>
      <c r="W129" s="751"/>
      <c r="X129" s="752"/>
      <c r="Y129" s="15"/>
      <c r="AA129" s="49"/>
    </row>
    <row r="130" spans="2:27" ht="17.25" customHeight="1" thickTop="1" x14ac:dyDescent="0.15">
      <c r="B130" s="15"/>
      <c r="C130" s="15"/>
      <c r="D130" s="15"/>
      <c r="F130" s="15"/>
      <c r="W130" s="15"/>
      <c r="X130" s="35" t="str">
        <f>IF(G23="","",IF(U129="","リストから選択↑　",""))</f>
        <v/>
      </c>
      <c r="Y130" s="15"/>
      <c r="AA130" s="49"/>
    </row>
    <row r="131" spans="2:27" ht="16.5" customHeight="1" x14ac:dyDescent="0.15">
      <c r="B131" s="63" t="s">
        <v>211</v>
      </c>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row>
    <row r="132" spans="2:27" ht="27.75" customHeight="1" x14ac:dyDescent="0.15">
      <c r="C132" s="562" t="s">
        <v>243</v>
      </c>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row>
    <row r="133" spans="2:27" s="9" customFormat="1" ht="47.25" customHeight="1" x14ac:dyDescent="0.15">
      <c r="B133" s="409" t="s">
        <v>164</v>
      </c>
      <c r="C133" s="410"/>
      <c r="D133" s="411"/>
      <c r="E133" s="53"/>
      <c r="F133" s="366" t="s">
        <v>0</v>
      </c>
      <c r="G133" s="367"/>
      <c r="H133" s="368"/>
      <c r="I133" s="409" t="s">
        <v>165</v>
      </c>
      <c r="J133" s="410"/>
      <c r="K133" s="410"/>
      <c r="L133" s="411"/>
      <c r="M133" s="409" t="s">
        <v>166</v>
      </c>
      <c r="N133" s="410"/>
      <c r="O133" s="410"/>
      <c r="P133" s="410"/>
      <c r="Q133" s="637" t="s">
        <v>176</v>
      </c>
      <c r="R133" s="638"/>
      <c r="S133" s="638"/>
      <c r="T133" s="729"/>
      <c r="U133" s="1"/>
      <c r="V133" s="1"/>
      <c r="W133" s="1"/>
      <c r="X133" s="1"/>
      <c r="Y133" s="1"/>
      <c r="Z133" s="1"/>
      <c r="AA133" s="49"/>
    </row>
    <row r="134" spans="2:27" s="9" customFormat="1" ht="17.25" customHeight="1" x14ac:dyDescent="0.15">
      <c r="B134" s="742" t="str">
        <f>IF($U$129="非該当",DATE(YEAR($I$27)-1,MONTH($I$27),DAY($I$27)),"")</f>
        <v/>
      </c>
      <c r="C134" s="743"/>
      <c r="D134" s="744"/>
      <c r="E134" s="57"/>
      <c r="F134" s="735" t="str">
        <f>IF(B134="","",IF(F126="","",F126))</f>
        <v/>
      </c>
      <c r="G134" s="736"/>
      <c r="H134" s="737"/>
      <c r="I134" s="738"/>
      <c r="J134" s="739"/>
      <c r="K134" s="739"/>
      <c r="L134" s="740"/>
      <c r="M134" s="738"/>
      <c r="N134" s="739"/>
      <c r="O134" s="739"/>
      <c r="P134" s="739"/>
      <c r="Q134" s="282" t="str">
        <f>IF(F134="","",IF(OR(M134="",M134=0),"－",ROUND(I134/M134,2)))</f>
        <v/>
      </c>
      <c r="R134" s="283"/>
      <c r="S134" s="283"/>
      <c r="T134" s="741"/>
      <c r="AA134" s="49"/>
    </row>
    <row r="135" spans="2:27" s="9" customFormat="1" ht="17.25" customHeight="1" x14ac:dyDescent="0.15">
      <c r="B135" s="745"/>
      <c r="C135" s="746"/>
      <c r="D135" s="747"/>
      <c r="E135" s="58"/>
      <c r="F135" s="735" t="str">
        <f>IF(B134="","",IF(F127="","",F127))</f>
        <v/>
      </c>
      <c r="G135" s="736"/>
      <c r="H135" s="737"/>
      <c r="I135" s="738"/>
      <c r="J135" s="739"/>
      <c r="K135" s="739"/>
      <c r="L135" s="740"/>
      <c r="M135" s="738"/>
      <c r="N135" s="739"/>
      <c r="O135" s="739"/>
      <c r="P135" s="739"/>
      <c r="Q135" s="282" t="str">
        <f t="shared" ref="Q135:Q145" si="5">IF(F135="","",IF(OR(M135="",M135=0),"－",ROUND(I135/M135,2)))</f>
        <v/>
      </c>
      <c r="R135" s="283"/>
      <c r="S135" s="283"/>
      <c r="T135" s="741"/>
      <c r="U135" s="1"/>
      <c r="V135" s="1"/>
      <c r="W135" s="1"/>
      <c r="X135" s="1"/>
      <c r="Y135" s="1"/>
      <c r="Z135" s="1"/>
      <c r="AA135" s="49"/>
    </row>
    <row r="136" spans="2:27" s="9" customFormat="1" ht="17.25" customHeight="1" x14ac:dyDescent="0.15">
      <c r="B136" s="748"/>
      <c r="C136" s="749"/>
      <c r="D136" s="750"/>
      <c r="E136" s="59"/>
      <c r="F136" s="735" t="str">
        <f>IF(B134="","",IF(F128="","",F128))</f>
        <v/>
      </c>
      <c r="G136" s="736"/>
      <c r="H136" s="737"/>
      <c r="I136" s="738"/>
      <c r="J136" s="739"/>
      <c r="K136" s="739"/>
      <c r="L136" s="740"/>
      <c r="M136" s="738"/>
      <c r="N136" s="739"/>
      <c r="O136" s="739"/>
      <c r="P136" s="739"/>
      <c r="Q136" s="282" t="str">
        <f t="shared" si="5"/>
        <v/>
      </c>
      <c r="R136" s="283"/>
      <c r="S136" s="283"/>
      <c r="T136" s="741"/>
      <c r="U136" s="366" t="s">
        <v>168</v>
      </c>
      <c r="V136" s="367"/>
      <c r="W136" s="367"/>
      <c r="X136" s="367"/>
      <c r="Y136" s="367"/>
      <c r="Z136" s="367"/>
      <c r="AA136" s="368"/>
    </row>
    <row r="137" spans="2:27" s="9" customFormat="1" ht="17.25" customHeight="1" x14ac:dyDescent="0.15">
      <c r="B137" s="742" t="str">
        <f>IF($U$129="非該当",DATE(YEAR($I$27)-2,MONTH($I$27),DAY($I$27)),"")</f>
        <v/>
      </c>
      <c r="C137" s="743"/>
      <c r="D137" s="744"/>
      <c r="E137" s="57"/>
      <c r="F137" s="735" t="str">
        <f>IF(B137="","",IF(F126="","",F126))</f>
        <v/>
      </c>
      <c r="G137" s="736"/>
      <c r="H137" s="737"/>
      <c r="I137" s="738"/>
      <c r="J137" s="739"/>
      <c r="K137" s="739"/>
      <c r="L137" s="740"/>
      <c r="M137" s="738"/>
      <c r="N137" s="739"/>
      <c r="O137" s="739"/>
      <c r="P137" s="739"/>
      <c r="Q137" s="282" t="str">
        <f t="shared" si="5"/>
        <v/>
      </c>
      <c r="R137" s="283"/>
      <c r="S137" s="283"/>
      <c r="T137" s="741"/>
      <c r="U137" s="543" t="str">
        <f>IF(B137="","",P16)</f>
        <v/>
      </c>
      <c r="V137" s="544"/>
      <c r="W137" s="523" t="str">
        <f t="shared" ref="W137:W145" si="6">IF(F137="","",F137)</f>
        <v/>
      </c>
      <c r="X137" s="524"/>
      <c r="Y137" s="525"/>
      <c r="Z137" s="730" t="str">
        <f>IF(W137="","",ROUND(SUMIF(F$126:H$139,W137,Q$126:T$139)/3,2))</f>
        <v/>
      </c>
      <c r="AA137" s="731"/>
    </row>
    <row r="138" spans="2:27" s="9" customFormat="1" ht="17.25" customHeight="1" x14ac:dyDescent="0.15">
      <c r="B138" s="745"/>
      <c r="C138" s="746"/>
      <c r="D138" s="747"/>
      <c r="E138" s="58"/>
      <c r="F138" s="735" t="str">
        <f>IF(B137="","",IF(F127="","",F127))</f>
        <v/>
      </c>
      <c r="G138" s="736"/>
      <c r="H138" s="737"/>
      <c r="I138" s="738"/>
      <c r="J138" s="739"/>
      <c r="K138" s="739"/>
      <c r="L138" s="740"/>
      <c r="M138" s="738"/>
      <c r="N138" s="739"/>
      <c r="O138" s="739"/>
      <c r="P138" s="739"/>
      <c r="Q138" s="282" t="str">
        <f t="shared" si="5"/>
        <v/>
      </c>
      <c r="R138" s="283"/>
      <c r="S138" s="283"/>
      <c r="T138" s="741"/>
      <c r="U138" s="529" t="s">
        <v>77</v>
      </c>
      <c r="V138" s="530"/>
      <c r="W138" s="523" t="str">
        <f t="shared" si="6"/>
        <v/>
      </c>
      <c r="X138" s="524"/>
      <c r="Y138" s="525"/>
      <c r="Z138" s="730" t="str">
        <f>IF(W138="","",ROUND(SUMIF(F$126:H$139,W138,Q$126:T$139)/3,2))</f>
        <v/>
      </c>
      <c r="AA138" s="731"/>
    </row>
    <row r="139" spans="2:27" s="9" customFormat="1" ht="17.25" customHeight="1" x14ac:dyDescent="0.15">
      <c r="B139" s="748"/>
      <c r="C139" s="749"/>
      <c r="D139" s="750"/>
      <c r="E139" s="59"/>
      <c r="F139" s="735" t="str">
        <f>IF(B137="","",IF(F128="","",F128))</f>
        <v/>
      </c>
      <c r="G139" s="736"/>
      <c r="H139" s="737"/>
      <c r="I139" s="738"/>
      <c r="J139" s="739"/>
      <c r="K139" s="739"/>
      <c r="L139" s="740"/>
      <c r="M139" s="738"/>
      <c r="N139" s="739"/>
      <c r="O139" s="739"/>
      <c r="P139" s="739"/>
      <c r="Q139" s="282" t="str">
        <f t="shared" si="5"/>
        <v/>
      </c>
      <c r="R139" s="283"/>
      <c r="S139" s="283"/>
      <c r="T139" s="741"/>
      <c r="U139" s="521" t="str">
        <f>IF(B137="","",Q18)</f>
        <v/>
      </c>
      <c r="V139" s="522"/>
      <c r="W139" s="523" t="str">
        <f t="shared" si="6"/>
        <v/>
      </c>
      <c r="X139" s="524"/>
      <c r="Y139" s="525"/>
      <c r="Z139" s="730" t="str">
        <f>IF(W139="","",ROUND(SUMIF(F$126:H$139,W139,Q$126:T$139)/3,2))</f>
        <v/>
      </c>
      <c r="AA139" s="731"/>
    </row>
    <row r="140" spans="2:27" s="9" customFormat="1" ht="17.25" customHeight="1" x14ac:dyDescent="0.15">
      <c r="B140" s="742" t="str">
        <f>IF($U$129="非該当",DATE(YEAR($I$27)-3,MONTH($I$27),DAY($I$27)),"")</f>
        <v/>
      </c>
      <c r="C140" s="743"/>
      <c r="D140" s="744"/>
      <c r="E140" s="57"/>
      <c r="F140" s="735" t="str">
        <f>IF(B140="","",IF(F126="","",F126))</f>
        <v/>
      </c>
      <c r="G140" s="736"/>
      <c r="H140" s="737"/>
      <c r="I140" s="738"/>
      <c r="J140" s="739"/>
      <c r="K140" s="739"/>
      <c r="L140" s="740"/>
      <c r="M140" s="738"/>
      <c r="N140" s="739"/>
      <c r="O140" s="739"/>
      <c r="P140" s="739"/>
      <c r="Q140" s="282" t="str">
        <f t="shared" si="5"/>
        <v/>
      </c>
      <c r="R140" s="283"/>
      <c r="S140" s="283"/>
      <c r="T140" s="741"/>
      <c r="U140" s="543" t="str">
        <f>IF(B140="","",P17)</f>
        <v/>
      </c>
      <c r="V140" s="544"/>
      <c r="W140" s="523" t="str">
        <f t="shared" si="6"/>
        <v/>
      </c>
      <c r="X140" s="524"/>
      <c r="Y140" s="525"/>
      <c r="Z140" s="730" t="str">
        <f>IF(W140="","",ROUND(SUMIF(F$134:H$142,W140,Q$134:T$142)/3,2))</f>
        <v/>
      </c>
      <c r="AA140" s="731"/>
    </row>
    <row r="141" spans="2:27" s="9" customFormat="1" ht="17.25" customHeight="1" x14ac:dyDescent="0.15">
      <c r="B141" s="745"/>
      <c r="C141" s="746"/>
      <c r="D141" s="747"/>
      <c r="E141" s="58"/>
      <c r="F141" s="735" t="str">
        <f>IF(B140="","",IF(F127="","",F127))</f>
        <v/>
      </c>
      <c r="G141" s="736"/>
      <c r="H141" s="737"/>
      <c r="I141" s="738"/>
      <c r="J141" s="739"/>
      <c r="K141" s="739"/>
      <c r="L141" s="740"/>
      <c r="M141" s="738"/>
      <c r="N141" s="739"/>
      <c r="O141" s="739"/>
      <c r="P141" s="739"/>
      <c r="Q141" s="282" t="str">
        <f t="shared" si="5"/>
        <v/>
      </c>
      <c r="R141" s="283"/>
      <c r="S141" s="283"/>
      <c r="T141" s="741"/>
      <c r="U141" s="529" t="s">
        <v>77</v>
      </c>
      <c r="V141" s="530"/>
      <c r="W141" s="523" t="str">
        <f t="shared" si="6"/>
        <v/>
      </c>
      <c r="X141" s="524"/>
      <c r="Y141" s="525"/>
      <c r="Z141" s="730" t="str">
        <f>IF(W141="","",ROUND(SUMIF(F$134:H$142,W141,Q$134:T$142)/3,2))</f>
        <v/>
      </c>
      <c r="AA141" s="731"/>
    </row>
    <row r="142" spans="2:27" s="9" customFormat="1" ht="17.25" customHeight="1" x14ac:dyDescent="0.15">
      <c r="B142" s="748"/>
      <c r="C142" s="749"/>
      <c r="D142" s="750"/>
      <c r="E142" s="59"/>
      <c r="F142" s="735" t="str">
        <f>IF(B140="","",IF(F128="","",F128))</f>
        <v/>
      </c>
      <c r="G142" s="736"/>
      <c r="H142" s="737"/>
      <c r="I142" s="738"/>
      <c r="J142" s="739"/>
      <c r="K142" s="739"/>
      <c r="L142" s="740"/>
      <c r="M142" s="738"/>
      <c r="N142" s="739"/>
      <c r="O142" s="739"/>
      <c r="P142" s="739"/>
      <c r="Q142" s="282" t="str">
        <f t="shared" si="5"/>
        <v/>
      </c>
      <c r="R142" s="283"/>
      <c r="S142" s="283"/>
      <c r="T142" s="741"/>
      <c r="U142" s="521" t="str">
        <f>IF(B140="","",Q19)</f>
        <v/>
      </c>
      <c r="V142" s="522"/>
      <c r="W142" s="523" t="str">
        <f t="shared" si="6"/>
        <v/>
      </c>
      <c r="X142" s="524"/>
      <c r="Y142" s="525"/>
      <c r="Z142" s="730" t="str">
        <f>IF(W142="","",ROUND(SUMIF(F$134:H$142,W142,Q$134:T$142)/3,2))</f>
        <v/>
      </c>
      <c r="AA142" s="731"/>
    </row>
    <row r="143" spans="2:27" s="9" customFormat="1" ht="17.25" customHeight="1" x14ac:dyDescent="0.15">
      <c r="B143" s="742" t="str">
        <f>IF($U$129="非該当",DATE(YEAR($I$27)-4,MONTH($I$27),DAY($I$27)),"")</f>
        <v/>
      </c>
      <c r="C143" s="743"/>
      <c r="D143" s="744"/>
      <c r="E143" s="57"/>
      <c r="F143" s="735" t="str">
        <f>IF(B143="","",IF(F126="","",F126))</f>
        <v/>
      </c>
      <c r="G143" s="736"/>
      <c r="H143" s="737"/>
      <c r="I143" s="738"/>
      <c r="J143" s="739"/>
      <c r="K143" s="739"/>
      <c r="L143" s="740"/>
      <c r="M143" s="738"/>
      <c r="N143" s="739"/>
      <c r="O143" s="739"/>
      <c r="P143" s="739"/>
      <c r="Q143" s="282" t="str">
        <f t="shared" si="5"/>
        <v/>
      </c>
      <c r="R143" s="283"/>
      <c r="S143" s="283"/>
      <c r="T143" s="741"/>
      <c r="U143" s="543" t="str">
        <f>IF(B143="","",P18)</f>
        <v/>
      </c>
      <c r="V143" s="544"/>
      <c r="W143" s="523" t="str">
        <f t="shared" si="6"/>
        <v/>
      </c>
      <c r="X143" s="524"/>
      <c r="Y143" s="525"/>
      <c r="Z143" s="730" t="str">
        <f>IF(W143="","",ROUND(SUMIF(F$137:H$145,W143,Q$137:T$145)/3,2))</f>
        <v/>
      </c>
      <c r="AA143" s="731"/>
    </row>
    <row r="144" spans="2:27" s="9" customFormat="1" ht="17.25" customHeight="1" x14ac:dyDescent="0.15">
      <c r="B144" s="745"/>
      <c r="C144" s="746"/>
      <c r="D144" s="747"/>
      <c r="E144" s="58"/>
      <c r="F144" s="735" t="str">
        <f>IF(B143="","",IF(F127="","",F127))</f>
        <v/>
      </c>
      <c r="G144" s="736"/>
      <c r="H144" s="737"/>
      <c r="I144" s="738"/>
      <c r="J144" s="739"/>
      <c r="K144" s="739"/>
      <c r="L144" s="740"/>
      <c r="M144" s="738"/>
      <c r="N144" s="739"/>
      <c r="O144" s="739"/>
      <c r="P144" s="739"/>
      <c r="Q144" s="282" t="str">
        <f t="shared" si="5"/>
        <v/>
      </c>
      <c r="R144" s="283"/>
      <c r="S144" s="283"/>
      <c r="T144" s="741"/>
      <c r="U144" s="529" t="s">
        <v>77</v>
      </c>
      <c r="V144" s="530"/>
      <c r="W144" s="523" t="str">
        <f t="shared" si="6"/>
        <v/>
      </c>
      <c r="X144" s="524"/>
      <c r="Y144" s="525"/>
      <c r="Z144" s="730" t="str">
        <f>IF(W144="","",ROUND(SUMIF(F$137:H$145,W144,Q$137:T$145)/3,2))</f>
        <v/>
      </c>
      <c r="AA144" s="731"/>
    </row>
    <row r="145" spans="1:28" s="9" customFormat="1" ht="17.25" customHeight="1" x14ac:dyDescent="0.15">
      <c r="B145" s="748"/>
      <c r="C145" s="749"/>
      <c r="D145" s="750"/>
      <c r="E145" s="59"/>
      <c r="F145" s="735" t="str">
        <f>IF(B143="","",IF(F128="","",F128))</f>
        <v/>
      </c>
      <c r="G145" s="736"/>
      <c r="H145" s="737"/>
      <c r="I145" s="738"/>
      <c r="J145" s="739"/>
      <c r="K145" s="739"/>
      <c r="L145" s="740"/>
      <c r="M145" s="738"/>
      <c r="N145" s="739"/>
      <c r="O145" s="739"/>
      <c r="P145" s="739"/>
      <c r="Q145" s="282" t="str">
        <f t="shared" si="5"/>
        <v/>
      </c>
      <c r="R145" s="283"/>
      <c r="S145" s="283"/>
      <c r="T145" s="741"/>
      <c r="U145" s="521" t="str">
        <f>IF(B143="","",Q20)</f>
        <v/>
      </c>
      <c r="V145" s="522"/>
      <c r="W145" s="523" t="str">
        <f t="shared" si="6"/>
        <v/>
      </c>
      <c r="X145" s="524"/>
      <c r="Y145" s="525"/>
      <c r="Z145" s="730" t="str">
        <f>IF(W145="","",ROUND(SUMIF(F$137:H$145,W145,Q$137:T$145)/3,2))</f>
        <v/>
      </c>
      <c r="AA145" s="731"/>
    </row>
    <row r="146" spans="1:28" ht="17.25" customHeight="1" x14ac:dyDescent="0.15">
      <c r="A146" s="43"/>
      <c r="B146" s="60"/>
      <c r="C146" s="60"/>
      <c r="D146" s="60"/>
      <c r="F146" s="20"/>
      <c r="G146" s="43"/>
    </row>
    <row r="147" spans="1:28" ht="17.25" customHeight="1" x14ac:dyDescent="0.15">
      <c r="B147" s="1" t="s">
        <v>222</v>
      </c>
      <c r="AA147" s="169" t="str">
        <f>IF(G$23="","",G$23)</f>
        <v/>
      </c>
    </row>
    <row r="148" spans="1:28" ht="17.25" customHeight="1" x14ac:dyDescent="0.15">
      <c r="A148" s="43"/>
      <c r="B148" s="43"/>
      <c r="C148" s="43"/>
      <c r="D148" s="43"/>
      <c r="F148" s="43"/>
      <c r="G148" s="43"/>
    </row>
    <row r="149" spans="1:28" ht="17.25" customHeight="1" x14ac:dyDescent="0.15">
      <c r="B149" s="1" t="s">
        <v>220</v>
      </c>
    </row>
    <row r="150" spans="1:28" ht="16.5" customHeight="1" x14ac:dyDescent="0.15">
      <c r="C150" s="562" t="s">
        <v>240</v>
      </c>
      <c r="D150" s="563"/>
      <c r="E150" s="563"/>
      <c r="F150" s="563"/>
      <c r="G150" s="563"/>
      <c r="H150" s="563"/>
      <c r="I150" s="563"/>
      <c r="J150" s="563"/>
      <c r="K150" s="563"/>
      <c r="L150" s="563"/>
      <c r="M150" s="563"/>
      <c r="N150" s="563"/>
      <c r="O150" s="563"/>
      <c r="P150" s="563"/>
      <c r="Q150" s="563"/>
      <c r="R150" s="563"/>
      <c r="S150" s="563"/>
      <c r="T150" s="563"/>
      <c r="U150" s="563"/>
      <c r="V150" s="563"/>
      <c r="W150" s="563"/>
      <c r="X150" s="563"/>
      <c r="Y150" s="563"/>
      <c r="Z150" s="563"/>
      <c r="AA150" s="563"/>
    </row>
    <row r="151" spans="1:28" ht="17.25" customHeight="1" thickBot="1" x14ac:dyDescent="0.2">
      <c r="I151" s="449" t="s">
        <v>40</v>
      </c>
      <c r="J151" s="450"/>
      <c r="K151" s="450"/>
      <c r="L151" s="450"/>
      <c r="M151" s="450"/>
      <c r="N151" s="450"/>
      <c r="O151" s="451"/>
      <c r="P151" s="449" t="s">
        <v>41</v>
      </c>
      <c r="Q151" s="450"/>
      <c r="R151" s="450"/>
      <c r="S151" s="450"/>
      <c r="T151" s="450"/>
      <c r="U151" s="450"/>
      <c r="V151" s="451"/>
      <c r="W151" s="43"/>
      <c r="X151" s="43"/>
      <c r="Y151" s="43"/>
      <c r="Z151" s="43"/>
      <c r="AA151" s="43"/>
      <c r="AB151" s="43"/>
    </row>
    <row r="152" spans="1:28" s="9" customFormat="1" ht="47.25" customHeight="1" thickTop="1" x14ac:dyDescent="0.15">
      <c r="B152" s="732" t="s">
        <v>0</v>
      </c>
      <c r="C152" s="733"/>
      <c r="D152" s="734"/>
      <c r="E152" s="71"/>
      <c r="F152" s="637" t="s">
        <v>71</v>
      </c>
      <c r="G152" s="733"/>
      <c r="H152" s="734"/>
      <c r="I152" s="637" t="s">
        <v>221</v>
      </c>
      <c r="J152" s="733"/>
      <c r="K152" s="637" t="str">
        <f>IF(F154="","うち直近事業年度で雇用されている者","うち"&amp;P16&amp;"事業年度で雇用されている者")</f>
        <v>うち直近事業年度で雇用されている者</v>
      </c>
      <c r="L152" s="638"/>
      <c r="M152" s="729"/>
      <c r="N152" s="637" t="s">
        <v>183</v>
      </c>
      <c r="O152" s="729"/>
      <c r="P152" s="637" t="s">
        <v>221</v>
      </c>
      <c r="Q152" s="733"/>
      <c r="R152" s="637" t="str">
        <f>IF(F154="","うち直近事業年度で雇用されている者","うち"&amp;P16&amp;"事業年度で雇用されている者")</f>
        <v>うち直近事業年度で雇用されている者</v>
      </c>
      <c r="S152" s="638"/>
      <c r="T152" s="729"/>
      <c r="U152" s="637" t="s">
        <v>184</v>
      </c>
      <c r="V152" s="638"/>
      <c r="W152" s="409" t="s">
        <v>14</v>
      </c>
      <c r="X152" s="367"/>
      <c r="Y152" s="367"/>
      <c r="Z152" s="478" t="s">
        <v>179</v>
      </c>
      <c r="AA152" s="480"/>
    </row>
    <row r="153" spans="1:28" s="9" customFormat="1" ht="17.25" customHeight="1" x14ac:dyDescent="0.15">
      <c r="B153" s="612"/>
      <c r="C153" s="613"/>
      <c r="D153" s="614"/>
      <c r="E153" s="28" t="str">
        <f>IF(B153="","",B153&amp;F153)</f>
        <v/>
      </c>
      <c r="F153" s="485" t="str">
        <f>IF($B153="","",DATE(YEAR($I$27)-9,MONTH($I$27),DAY($I$27)))</f>
        <v/>
      </c>
      <c r="G153" s="486"/>
      <c r="H153" s="487"/>
      <c r="I153" s="463"/>
      <c r="J153" s="464"/>
      <c r="K153" s="463"/>
      <c r="L153" s="593"/>
      <c r="M153" s="464"/>
      <c r="N153" s="707" t="str">
        <f>IF(B153="","",IF(I156&lt;=0,"－",ROUND(K156/I156,3)))</f>
        <v/>
      </c>
      <c r="O153" s="708"/>
      <c r="P153" s="463"/>
      <c r="Q153" s="464"/>
      <c r="R153" s="463"/>
      <c r="S153" s="593"/>
      <c r="T153" s="464"/>
      <c r="U153" s="707" t="str">
        <f>IF(B153="","",IF(P156&lt;=0,"－",ROUND(R156/P156,3)))</f>
        <v/>
      </c>
      <c r="V153" s="711"/>
      <c r="W153" s="714" t="s">
        <v>170</v>
      </c>
      <c r="X153" s="715"/>
      <c r="Y153" s="715"/>
      <c r="Z153" s="700" t="str">
        <f>IF(B153="","",IF(W154="－","算出不能",IF(AND(N153&gt;0,U153&gt;0,W154&gt;=0.8),"Ｃ≧0.8",IF(AND(N153&gt;0,U153&gt;0,W154&lt;0.8),"Ｃ＜0.8"))))</f>
        <v/>
      </c>
      <c r="AA153" s="701"/>
    </row>
    <row r="154" spans="1:28" s="9" customFormat="1" ht="17.25" customHeight="1" x14ac:dyDescent="0.15">
      <c r="B154" s="615"/>
      <c r="C154" s="616"/>
      <c r="D154" s="617"/>
      <c r="E154" s="28" t="str">
        <f>IF(B153="","",B153&amp;F154)</f>
        <v/>
      </c>
      <c r="F154" s="485" t="str">
        <f>IF($B153="","",DATE(YEAR($I$27)-10,MONTH($I$27),DAY($I$27)))</f>
        <v/>
      </c>
      <c r="G154" s="486"/>
      <c r="H154" s="487"/>
      <c r="I154" s="463"/>
      <c r="J154" s="464"/>
      <c r="K154" s="463"/>
      <c r="L154" s="593"/>
      <c r="M154" s="464"/>
      <c r="N154" s="304"/>
      <c r="O154" s="305"/>
      <c r="P154" s="463"/>
      <c r="Q154" s="464"/>
      <c r="R154" s="463"/>
      <c r="S154" s="593"/>
      <c r="T154" s="464"/>
      <c r="U154" s="304"/>
      <c r="V154" s="712"/>
      <c r="W154" s="320" t="str">
        <f>IF(B153="","",IF(OR(N153="－",U153="－",U153=0),"－",ROUND(N153/U153,2)))</f>
        <v/>
      </c>
      <c r="X154" s="321"/>
      <c r="Y154" s="321"/>
      <c r="Z154" s="702"/>
      <c r="AA154" s="703"/>
    </row>
    <row r="155" spans="1:28" s="9" customFormat="1" ht="17.25" customHeight="1" x14ac:dyDescent="0.15">
      <c r="B155" s="615"/>
      <c r="C155" s="616"/>
      <c r="D155" s="617"/>
      <c r="E155" s="28" t="str">
        <f>IF(B153="","",B153&amp;F155)</f>
        <v/>
      </c>
      <c r="F155" s="485" t="str">
        <f>IF($B153="","",DATE(YEAR($I$27)-11,MONTH($I$27),DAY($I$27)))</f>
        <v/>
      </c>
      <c r="G155" s="486"/>
      <c r="H155" s="487"/>
      <c r="I155" s="463"/>
      <c r="J155" s="464"/>
      <c r="K155" s="463"/>
      <c r="L155" s="593"/>
      <c r="M155" s="464"/>
      <c r="N155" s="304"/>
      <c r="O155" s="305"/>
      <c r="P155" s="463"/>
      <c r="Q155" s="464"/>
      <c r="R155" s="463"/>
      <c r="S155" s="593"/>
      <c r="T155" s="464"/>
      <c r="U155" s="304"/>
      <c r="V155" s="712"/>
      <c r="W155" s="320"/>
      <c r="X155" s="321"/>
      <c r="Y155" s="321"/>
      <c r="Z155" s="702"/>
      <c r="AA155" s="703"/>
    </row>
    <row r="156" spans="1:28" s="9" customFormat="1" ht="17.25" customHeight="1" x14ac:dyDescent="0.15">
      <c r="B156" s="618"/>
      <c r="C156" s="619"/>
      <c r="D156" s="620"/>
      <c r="E156" s="24"/>
      <c r="F156" s="718" t="s">
        <v>15</v>
      </c>
      <c r="G156" s="719"/>
      <c r="H156" s="720"/>
      <c r="I156" s="721" t="str">
        <f>IF($B$153="","",SUM(I153:J155))</f>
        <v/>
      </c>
      <c r="J156" s="722"/>
      <c r="K156" s="721" t="str">
        <f>IF($B$153="","",SUM(K153:M155))</f>
        <v/>
      </c>
      <c r="L156" s="723"/>
      <c r="M156" s="722"/>
      <c r="N156" s="709"/>
      <c r="O156" s="710"/>
      <c r="P156" s="721" t="str">
        <f>IF($B$153="","",SUM(P153:Q155))</f>
        <v/>
      </c>
      <c r="Q156" s="722"/>
      <c r="R156" s="721" t="str">
        <f>IF($B$153="","",SUM(R153:T155))</f>
        <v/>
      </c>
      <c r="S156" s="723"/>
      <c r="T156" s="722"/>
      <c r="U156" s="709"/>
      <c r="V156" s="713"/>
      <c r="W156" s="716"/>
      <c r="X156" s="717"/>
      <c r="Y156" s="717"/>
      <c r="Z156" s="727"/>
      <c r="AA156" s="728"/>
    </row>
    <row r="157" spans="1:28" s="9" customFormat="1" ht="17.25" customHeight="1" x14ac:dyDescent="0.15">
      <c r="B157" s="612" t="str">
        <f>IF(B58="","",B58)</f>
        <v/>
      </c>
      <c r="C157" s="613"/>
      <c r="D157" s="614"/>
      <c r="E157" s="28" t="str">
        <f>IF(B157="","",B157&amp;F157)</f>
        <v/>
      </c>
      <c r="F157" s="485" t="str">
        <f>IF($B157="","",DATE(YEAR($I$27)-9,MONTH($I$27),DAY($I$27)))</f>
        <v/>
      </c>
      <c r="G157" s="486"/>
      <c r="H157" s="487"/>
      <c r="I157" s="704"/>
      <c r="J157" s="705"/>
      <c r="K157" s="704"/>
      <c r="L157" s="706"/>
      <c r="M157" s="705"/>
      <c r="N157" s="707" t="str">
        <f t="shared" ref="N157" si="7">IF(B157="","",IF(I160&lt;=0,"－",ROUND(K160/I160,3)))</f>
        <v/>
      </c>
      <c r="O157" s="708"/>
      <c r="P157" s="704"/>
      <c r="Q157" s="705"/>
      <c r="R157" s="704"/>
      <c r="S157" s="706"/>
      <c r="T157" s="705"/>
      <c r="U157" s="707" t="str">
        <f t="shared" ref="U157" si="8">IF(B157="","",IF(P160&lt;=0,"－",ROUND(R160/P160,3)))</f>
        <v/>
      </c>
      <c r="V157" s="711"/>
      <c r="W157" s="714" t="s">
        <v>170</v>
      </c>
      <c r="X157" s="715"/>
      <c r="Y157" s="715"/>
      <c r="Z157" s="700" t="str">
        <f>IF(B157="","",IF(W158="－","算出不能",IF(AND(N157&gt;0,U157&gt;0,W158&gt;=0.8),"Ｃ≧0.8",IF(AND(N157&gt;0,U157&gt;0,W158&lt;0.8),"Ｃ＜0.8"))))</f>
        <v/>
      </c>
      <c r="AA157" s="701"/>
    </row>
    <row r="158" spans="1:28" s="9" customFormat="1" ht="17.25" customHeight="1" x14ac:dyDescent="0.15">
      <c r="B158" s="615"/>
      <c r="C158" s="616"/>
      <c r="D158" s="617"/>
      <c r="E158" s="28" t="str">
        <f>IF(B157="","",B157&amp;F158)</f>
        <v/>
      </c>
      <c r="F158" s="485" t="str">
        <f>IF($B157="","",DATE(YEAR($I$27)-10,MONTH($I$27),DAY($I$27)))</f>
        <v/>
      </c>
      <c r="G158" s="486"/>
      <c r="H158" s="487"/>
      <c r="I158" s="463"/>
      <c r="J158" s="464"/>
      <c r="K158" s="463"/>
      <c r="L158" s="593"/>
      <c r="M158" s="464"/>
      <c r="N158" s="304"/>
      <c r="O158" s="305"/>
      <c r="P158" s="463"/>
      <c r="Q158" s="464"/>
      <c r="R158" s="463"/>
      <c r="S158" s="593"/>
      <c r="T158" s="464"/>
      <c r="U158" s="304"/>
      <c r="V158" s="712"/>
      <c r="W158" s="320" t="str">
        <f>IF(B157="","",IF(OR(N157="－",U157="－",U157=0),"－",ROUND(N157/U157,2)))</f>
        <v/>
      </c>
      <c r="X158" s="321"/>
      <c r="Y158" s="321"/>
      <c r="Z158" s="702"/>
      <c r="AA158" s="703"/>
    </row>
    <row r="159" spans="1:28" s="9" customFormat="1" ht="17.25" customHeight="1" x14ac:dyDescent="0.15">
      <c r="B159" s="615"/>
      <c r="C159" s="616"/>
      <c r="D159" s="617"/>
      <c r="E159" s="28" t="str">
        <f>IF(B157="","",B157&amp;F159)</f>
        <v/>
      </c>
      <c r="F159" s="485" t="str">
        <f>IF($B157="","",DATE(YEAR($I$27)-11,MONTH($I$27),DAY($I$27)))</f>
        <v/>
      </c>
      <c r="G159" s="486"/>
      <c r="H159" s="487"/>
      <c r="I159" s="463"/>
      <c r="J159" s="464"/>
      <c r="K159" s="463"/>
      <c r="L159" s="593"/>
      <c r="M159" s="464"/>
      <c r="N159" s="304"/>
      <c r="O159" s="305"/>
      <c r="P159" s="463"/>
      <c r="Q159" s="464"/>
      <c r="R159" s="463"/>
      <c r="S159" s="593"/>
      <c r="T159" s="464"/>
      <c r="U159" s="304"/>
      <c r="V159" s="712"/>
      <c r="W159" s="320"/>
      <c r="X159" s="321"/>
      <c r="Y159" s="321"/>
      <c r="Z159" s="702"/>
      <c r="AA159" s="703"/>
    </row>
    <row r="160" spans="1:28" s="9" customFormat="1" ht="17.25" customHeight="1" x14ac:dyDescent="0.15">
      <c r="B160" s="618"/>
      <c r="C160" s="619"/>
      <c r="D160" s="620"/>
      <c r="E160" s="24"/>
      <c r="F160" s="718" t="s">
        <v>15</v>
      </c>
      <c r="G160" s="719"/>
      <c r="H160" s="720"/>
      <c r="I160" s="721" t="str">
        <f>IF($B$157="","",SUM(I157:J159))</f>
        <v/>
      </c>
      <c r="J160" s="722"/>
      <c r="K160" s="721" t="str">
        <f>IF($B$157="","",SUM(K157:M159))</f>
        <v/>
      </c>
      <c r="L160" s="723"/>
      <c r="M160" s="722"/>
      <c r="N160" s="709"/>
      <c r="O160" s="710"/>
      <c r="P160" s="721" t="str">
        <f>IF($B$157="","",SUM(P157:Q159))</f>
        <v/>
      </c>
      <c r="Q160" s="722"/>
      <c r="R160" s="724" t="str">
        <f>IF($B$157="","",SUM(R157:T159))</f>
        <v/>
      </c>
      <c r="S160" s="725"/>
      <c r="T160" s="726"/>
      <c r="U160" s="709"/>
      <c r="V160" s="713"/>
      <c r="W160" s="716"/>
      <c r="X160" s="717"/>
      <c r="Y160" s="717"/>
      <c r="Z160" s="727"/>
      <c r="AA160" s="728"/>
    </row>
    <row r="161" spans="1:28" s="9" customFormat="1" ht="17.25" customHeight="1" x14ac:dyDescent="0.15">
      <c r="B161" s="612" t="str">
        <f>IF(B61="","",B61)</f>
        <v/>
      </c>
      <c r="C161" s="613"/>
      <c r="D161" s="614"/>
      <c r="E161" s="28" t="str">
        <f>IF(B161="","",B161&amp;F161)</f>
        <v/>
      </c>
      <c r="F161" s="485" t="str">
        <f>IF($B161="","",DATE(YEAR($I$27)-9,MONTH($I$27),DAY($I$27)))</f>
        <v/>
      </c>
      <c r="G161" s="486"/>
      <c r="H161" s="487"/>
      <c r="I161" s="704"/>
      <c r="J161" s="705"/>
      <c r="K161" s="704"/>
      <c r="L161" s="706"/>
      <c r="M161" s="705"/>
      <c r="N161" s="707" t="str">
        <f t="shared" ref="N161" si="9">IF(B161="","",IF(I164&lt;=0,"－",ROUND(K164/I164,3)))</f>
        <v/>
      </c>
      <c r="O161" s="708"/>
      <c r="P161" s="704"/>
      <c r="Q161" s="705"/>
      <c r="R161" s="704"/>
      <c r="S161" s="706"/>
      <c r="T161" s="705"/>
      <c r="U161" s="707" t="str">
        <f t="shared" ref="U161" si="10">IF(B161="","",IF(P164&lt;=0,"－",ROUND(R164/P164,3)))</f>
        <v/>
      </c>
      <c r="V161" s="711"/>
      <c r="W161" s="714" t="s">
        <v>170</v>
      </c>
      <c r="X161" s="715"/>
      <c r="Y161" s="715"/>
      <c r="Z161" s="700" t="str">
        <f>IF(B161="","",IF(W162="－","算出不能",IF(AND(N161&gt;0,U161&gt;0,W162&gt;=0.8),"Ｃ≧0.8",IF(AND(N161&gt;0,U161&gt;0,W162&lt;0.8),"Ｃ＜0.8"))))</f>
        <v/>
      </c>
      <c r="AA161" s="701"/>
    </row>
    <row r="162" spans="1:28" s="9" customFormat="1" ht="17.25" customHeight="1" x14ac:dyDescent="0.15">
      <c r="B162" s="615"/>
      <c r="C162" s="616"/>
      <c r="D162" s="617"/>
      <c r="E162" s="28" t="str">
        <f>IF(B161="","",B161&amp;F162)</f>
        <v/>
      </c>
      <c r="F162" s="485" t="str">
        <f>IF($B161="","",DATE(YEAR($I$27)-10,MONTH($I$27),DAY($I$27)))</f>
        <v/>
      </c>
      <c r="G162" s="486"/>
      <c r="H162" s="487"/>
      <c r="I162" s="463"/>
      <c r="J162" s="464"/>
      <c r="K162" s="463"/>
      <c r="L162" s="593"/>
      <c r="M162" s="464"/>
      <c r="N162" s="304"/>
      <c r="O162" s="305"/>
      <c r="P162" s="463"/>
      <c r="Q162" s="464"/>
      <c r="R162" s="463"/>
      <c r="S162" s="593"/>
      <c r="T162" s="464"/>
      <c r="U162" s="304"/>
      <c r="V162" s="712"/>
      <c r="W162" s="320" t="str">
        <f>IF(B161="","",IF(OR(N161="－",U161="－",U161=0),"－",ROUND(N161/U161,2)))</f>
        <v/>
      </c>
      <c r="X162" s="321"/>
      <c r="Y162" s="321"/>
      <c r="Z162" s="702"/>
      <c r="AA162" s="703"/>
    </row>
    <row r="163" spans="1:28" s="9" customFormat="1" ht="17.25" customHeight="1" x14ac:dyDescent="0.15">
      <c r="B163" s="615"/>
      <c r="C163" s="616"/>
      <c r="D163" s="617"/>
      <c r="E163" s="28" t="str">
        <f>IF(B161="","",B161&amp;F163)</f>
        <v/>
      </c>
      <c r="F163" s="485" t="str">
        <f>IF($B161="","",DATE(YEAR($I$27)-11,MONTH($I$27),DAY($I$27)))</f>
        <v/>
      </c>
      <c r="G163" s="486"/>
      <c r="H163" s="487"/>
      <c r="I163" s="463"/>
      <c r="J163" s="464"/>
      <c r="K163" s="463"/>
      <c r="L163" s="593"/>
      <c r="M163" s="464"/>
      <c r="N163" s="304"/>
      <c r="O163" s="305"/>
      <c r="P163" s="463"/>
      <c r="Q163" s="464"/>
      <c r="R163" s="463"/>
      <c r="S163" s="593"/>
      <c r="T163" s="464"/>
      <c r="U163" s="304"/>
      <c r="V163" s="712"/>
      <c r="W163" s="320"/>
      <c r="X163" s="321"/>
      <c r="Y163" s="321"/>
      <c r="Z163" s="702"/>
      <c r="AA163" s="703"/>
    </row>
    <row r="164" spans="1:28" s="9" customFormat="1" ht="17.25" customHeight="1" thickBot="1" x14ac:dyDescent="0.2">
      <c r="B164" s="618"/>
      <c r="C164" s="619"/>
      <c r="D164" s="620"/>
      <c r="E164" s="24"/>
      <c r="F164" s="692" t="s">
        <v>15</v>
      </c>
      <c r="G164" s="693"/>
      <c r="H164" s="694"/>
      <c r="I164" s="695" t="str">
        <f>IF($B$161="","",SUM(I161:J163))</f>
        <v/>
      </c>
      <c r="J164" s="696"/>
      <c r="K164" s="697" t="str">
        <f>IF($B$161="","",SUM(K161:M163))</f>
        <v/>
      </c>
      <c r="L164" s="698"/>
      <c r="M164" s="699"/>
      <c r="N164" s="304"/>
      <c r="O164" s="305"/>
      <c r="P164" s="695" t="str">
        <f>IF($B$161="","",SUM(P161:Q163))</f>
        <v/>
      </c>
      <c r="Q164" s="696"/>
      <c r="R164" s="697" t="str">
        <f>IF($B$161="","",SUM(R161:T163))</f>
        <v/>
      </c>
      <c r="S164" s="698"/>
      <c r="T164" s="699"/>
      <c r="U164" s="304"/>
      <c r="V164" s="712"/>
      <c r="W164" s="686"/>
      <c r="X164" s="687"/>
      <c r="Y164" s="687"/>
      <c r="Z164" s="702"/>
      <c r="AA164" s="703"/>
    </row>
    <row r="165" spans="1:28" s="9" customFormat="1" ht="27.75" customHeight="1" thickTop="1" thickBot="1" x14ac:dyDescent="0.2">
      <c r="A165" s="19"/>
      <c r="C165" s="66"/>
      <c r="D165" s="66"/>
      <c r="E165" s="66"/>
      <c r="F165" s="688" t="s">
        <v>196</v>
      </c>
      <c r="G165" s="689"/>
      <c r="H165" s="689"/>
      <c r="I165" s="689"/>
      <c r="J165" s="689"/>
      <c r="K165" s="689"/>
      <c r="L165" s="689"/>
      <c r="M165" s="689"/>
      <c r="N165" s="689"/>
      <c r="O165" s="689"/>
      <c r="P165" s="689"/>
      <c r="Q165" s="689"/>
      <c r="R165" s="689"/>
      <c r="S165" s="689"/>
      <c r="T165" s="689"/>
      <c r="U165" s="689"/>
      <c r="V165" s="689"/>
      <c r="W165" s="690"/>
      <c r="X165" s="690"/>
      <c r="Y165" s="690"/>
      <c r="Z165" s="690"/>
      <c r="AA165" s="691"/>
      <c r="AB165" s="19"/>
    </row>
    <row r="166" spans="1:28" s="9" customFormat="1" ht="17.25" customHeight="1" thickTop="1" x14ac:dyDescent="0.15">
      <c r="A166" s="19"/>
      <c r="B166" s="19"/>
      <c r="C166" s="19"/>
      <c r="D166" s="19"/>
      <c r="E166" s="19"/>
      <c r="F166" s="19"/>
      <c r="G166" s="19"/>
      <c r="H166" s="19"/>
      <c r="I166" s="19"/>
      <c r="J166" s="19"/>
      <c r="K166" s="19"/>
      <c r="L166" s="19"/>
      <c r="M166" s="19"/>
      <c r="N166" s="19"/>
      <c r="O166" s="19"/>
      <c r="P166" s="19"/>
      <c r="Q166" s="19"/>
      <c r="R166" s="19"/>
      <c r="S166" s="19"/>
      <c r="T166" s="19"/>
      <c r="U166" s="19"/>
      <c r="AA166" s="35" t="str">
        <f>IF(G23="","",IF(W165="","リストから選択↑　",""))</f>
        <v/>
      </c>
      <c r="AB166" s="19"/>
    </row>
    <row r="167" spans="1:28" ht="17.25" customHeight="1" x14ac:dyDescent="0.15">
      <c r="B167" s="9" t="s">
        <v>212</v>
      </c>
    </row>
    <row r="168" spans="1:28" ht="27.75" customHeight="1" x14ac:dyDescent="0.15">
      <c r="C168" s="606" t="s">
        <v>244</v>
      </c>
      <c r="D168" s="606"/>
      <c r="E168" s="606"/>
      <c r="F168" s="606"/>
      <c r="G168" s="606"/>
      <c r="H168" s="606"/>
      <c r="I168" s="606"/>
      <c r="J168" s="606"/>
      <c r="K168" s="606"/>
      <c r="L168" s="606"/>
      <c r="M168" s="606"/>
      <c r="N168" s="606"/>
      <c r="O168" s="606"/>
      <c r="P168" s="606"/>
      <c r="Q168" s="606"/>
      <c r="R168" s="606"/>
      <c r="S168" s="606"/>
      <c r="T168" s="606"/>
      <c r="U168" s="606"/>
      <c r="V168" s="606"/>
      <c r="W168" s="606"/>
      <c r="X168" s="606"/>
      <c r="Y168" s="606"/>
      <c r="Z168" s="606"/>
      <c r="AA168" s="606"/>
    </row>
    <row r="169" spans="1:28" s="9" customFormat="1" ht="17.25" customHeight="1" x14ac:dyDescent="0.15">
      <c r="B169" s="926" t="s">
        <v>0</v>
      </c>
      <c r="C169" s="927"/>
      <c r="D169" s="928"/>
      <c r="E169" s="71"/>
      <c r="F169" s="924" t="s">
        <v>213</v>
      </c>
      <c r="G169" s="925"/>
      <c r="H169" s="925"/>
      <c r="I169" s="925"/>
      <c r="J169" s="925"/>
      <c r="K169" s="925"/>
      <c r="L169" s="925"/>
      <c r="M169" s="925"/>
      <c r="N169" s="925"/>
      <c r="O169" s="925"/>
      <c r="P169" s="925"/>
      <c r="Q169" s="925"/>
      <c r="R169" s="925"/>
      <c r="S169" s="925"/>
      <c r="T169" s="925"/>
      <c r="U169" s="925"/>
      <c r="V169" s="925"/>
      <c r="W169" s="925"/>
      <c r="X169" s="925"/>
      <c r="Y169" s="924" t="s">
        <v>231</v>
      </c>
      <c r="Z169" s="925"/>
      <c r="AA169" s="929"/>
    </row>
    <row r="170" spans="1:28" s="9" customFormat="1" ht="17.25" customHeight="1" x14ac:dyDescent="0.15">
      <c r="B170" s="553"/>
      <c r="C170" s="554"/>
      <c r="D170" s="555"/>
      <c r="E170" s="29" t="str">
        <f>IF(B170="","",B170&amp;F$154)</f>
        <v/>
      </c>
      <c r="F170" s="665" t="str">
        <f>IF(B170=""," 9～11年前採用者の10年後継続雇用割合の男女比　　　　　　　　　 上記ア","〔"&amp;S15&amp;"～"&amp;T17&amp;"採用者〕の"&amp;O16&amp;"における継続雇用割合の男女比（上記ア）")</f>
        <v xml:space="preserve"> 9～11年前採用者の10年後継続雇用割合の男女比　　　　　　　　　 上記ア</v>
      </c>
      <c r="G170" s="666"/>
      <c r="H170" s="666"/>
      <c r="I170" s="666"/>
      <c r="J170" s="666"/>
      <c r="K170" s="666"/>
      <c r="L170" s="666"/>
      <c r="M170" s="666"/>
      <c r="N170" s="666"/>
      <c r="O170" s="666"/>
      <c r="P170" s="666"/>
      <c r="Q170" s="666"/>
      <c r="R170" s="666"/>
      <c r="S170" s="666"/>
      <c r="T170" s="666"/>
      <c r="U170" s="666"/>
      <c r="V170" s="666"/>
      <c r="W170" s="666"/>
      <c r="X170" s="667"/>
      <c r="Y170" s="653" t="str">
        <f>IF(B170="","",VLOOKUP(E170,E$153:Y$164,19,FALSE))</f>
        <v/>
      </c>
      <c r="Z170" s="654"/>
      <c r="AA170" s="668"/>
    </row>
    <row r="171" spans="1:28" s="9" customFormat="1" ht="17.25" customHeight="1" x14ac:dyDescent="0.15">
      <c r="B171" s="564"/>
      <c r="C171" s="349"/>
      <c r="D171" s="565"/>
      <c r="E171" s="28" t="str">
        <f>IF(B170="","",B170&amp;DATE(YEAR($I$27)-11,MONTH($I$27),DAY($I$27))&amp;"その2")</f>
        <v/>
      </c>
      <c r="F171" s="665" t="str">
        <f>IF(B170="","10～12年前採用者の　　　　　　〃　　　　　　（アの1年ずつ前）　別紙イ","〔"&amp;S16&amp;"～"&amp;T18&amp;"採用者〕の"&amp;O17&amp;"における　　　　　〃　　　　　別紙イ")</f>
        <v>10～12年前採用者の　　　　　　〃　　　　　　（アの1年ずつ前）　別紙イ</v>
      </c>
      <c r="G171" s="666"/>
      <c r="H171" s="666"/>
      <c r="I171" s="666"/>
      <c r="J171" s="666"/>
      <c r="K171" s="666"/>
      <c r="L171" s="666"/>
      <c r="M171" s="666"/>
      <c r="N171" s="666"/>
      <c r="O171" s="666"/>
      <c r="P171" s="666"/>
      <c r="Q171" s="666"/>
      <c r="R171" s="666"/>
      <c r="S171" s="666"/>
      <c r="T171" s="666"/>
      <c r="U171" s="666"/>
      <c r="V171" s="666"/>
      <c r="W171" s="666"/>
      <c r="X171" s="667"/>
      <c r="Y171" s="653" t="str">
        <f>IF(B170="","",VLOOKUP(E171,$E$347:$AA$420,21,FALSE))</f>
        <v/>
      </c>
      <c r="Z171" s="654"/>
      <c r="AA171" s="668"/>
    </row>
    <row r="172" spans="1:28" s="9" customFormat="1" ht="17.25" customHeight="1" x14ac:dyDescent="0.15">
      <c r="B172" s="564"/>
      <c r="C172" s="349"/>
      <c r="D172" s="565"/>
      <c r="E172" s="28" t="str">
        <f>IF(B170="","",B170&amp;DATE(YEAR($I$27)-12,MONTH($I$27),DAY($I$27)))</f>
        <v/>
      </c>
      <c r="F172" s="665" t="str">
        <f>IF(B170="","11～13年前採用者の　　　　　　〃　　　　　　（アの2年ずつ前）　別紙ウ","〔"&amp;S17&amp;"～"&amp;T19&amp;"採用者〕の"&amp;O18&amp;"における　　　　　〃　　　　　別紙ウ")</f>
        <v>11～13年前採用者の　　　　　　〃　　　　　　（アの2年ずつ前）　別紙ウ</v>
      </c>
      <c r="G172" s="666"/>
      <c r="H172" s="666"/>
      <c r="I172" s="666"/>
      <c r="J172" s="666"/>
      <c r="K172" s="666"/>
      <c r="L172" s="666"/>
      <c r="M172" s="666"/>
      <c r="N172" s="666"/>
      <c r="O172" s="666"/>
      <c r="P172" s="666"/>
      <c r="Q172" s="666"/>
      <c r="R172" s="666"/>
      <c r="S172" s="666"/>
      <c r="T172" s="666"/>
      <c r="U172" s="666"/>
      <c r="V172" s="666"/>
      <c r="W172" s="666"/>
      <c r="X172" s="667"/>
      <c r="Y172" s="653" t="str">
        <f>IF(B170="","",VLOOKUP(E172,$E$347:$AA$420,21,FALSE))</f>
        <v/>
      </c>
      <c r="Z172" s="654"/>
      <c r="AA172" s="668"/>
    </row>
    <row r="173" spans="1:28" s="9" customFormat="1" ht="17.25" customHeight="1" x14ac:dyDescent="0.15">
      <c r="B173" s="564"/>
      <c r="C173" s="349"/>
      <c r="D173" s="565"/>
      <c r="E173" s="28" t="str">
        <f>IF(B170="","",B170&amp;DATE(YEAR($I$27)-13,MONTH($I$27),DAY($I$27)))</f>
        <v/>
      </c>
      <c r="F173" s="665" t="str">
        <f>IF(B170="","12～14年前採用者の　　　　　　〃　　　　　　（アの3年ずつ前）　別紙エ","〔"&amp;S18&amp;"～"&amp;T20&amp;"採用者〕の"&amp;O19&amp;"における　　　　　〃　　　　　別紙エ")</f>
        <v>12～14年前採用者の　　　　　　〃　　　　　　（アの3年ずつ前）　別紙エ</v>
      </c>
      <c r="G173" s="666"/>
      <c r="H173" s="666"/>
      <c r="I173" s="666"/>
      <c r="J173" s="666"/>
      <c r="K173" s="666"/>
      <c r="L173" s="666"/>
      <c r="M173" s="666"/>
      <c r="N173" s="666"/>
      <c r="O173" s="666"/>
      <c r="P173" s="666"/>
      <c r="Q173" s="666"/>
      <c r="R173" s="666"/>
      <c r="S173" s="666"/>
      <c r="T173" s="666"/>
      <c r="U173" s="666"/>
      <c r="V173" s="666"/>
      <c r="W173" s="666"/>
      <c r="X173" s="667"/>
      <c r="Y173" s="653" t="str">
        <f>IF(B170="","",VLOOKUP(E173,$E$347:$AA$420,21,FALSE))</f>
        <v/>
      </c>
      <c r="Z173" s="654"/>
      <c r="AA173" s="668"/>
    </row>
    <row r="174" spans="1:28" s="9" customFormat="1" ht="17.25" customHeight="1" thickBot="1" x14ac:dyDescent="0.2">
      <c r="B174" s="564"/>
      <c r="C174" s="349"/>
      <c r="D174" s="565"/>
      <c r="E174" s="28" t="str">
        <f>IF(B170="","",B170&amp;DATE(YEAR($I$27)-14,MONTH($I$27),DAY($I$27)))</f>
        <v/>
      </c>
      <c r="F174" s="665" t="str">
        <f>IF(B170="","13～15年前採用者の　　　　　　〃　　　　　　（アの4年ずつ前）　別紙オ","〔"&amp;S19&amp;"～"&amp;T21&amp;"採用者〕の"&amp;O20&amp;"における　　　　　〃　　　　　別紙オ")</f>
        <v>13～15年前採用者の　　　　　　〃　　　　　　（アの4年ずつ前）　別紙オ</v>
      </c>
      <c r="G174" s="666"/>
      <c r="H174" s="666"/>
      <c r="I174" s="669"/>
      <c r="J174" s="669"/>
      <c r="K174" s="669"/>
      <c r="L174" s="669"/>
      <c r="M174" s="669"/>
      <c r="N174" s="669"/>
      <c r="O174" s="669"/>
      <c r="P174" s="669"/>
      <c r="Q174" s="669"/>
      <c r="R174" s="669"/>
      <c r="S174" s="669"/>
      <c r="T174" s="669"/>
      <c r="U174" s="669"/>
      <c r="V174" s="669"/>
      <c r="W174" s="669"/>
      <c r="X174" s="670"/>
      <c r="Y174" s="647" t="str">
        <f>IF(B170="","",VLOOKUP(E174,$E$347:$AA$420,21,FALSE))</f>
        <v/>
      </c>
      <c r="Z174" s="648"/>
      <c r="AA174" s="649"/>
    </row>
    <row r="175" spans="1:28" s="9" customFormat="1" ht="17.25" customHeight="1" x14ac:dyDescent="0.15">
      <c r="B175" s="564"/>
      <c r="C175" s="349"/>
      <c r="D175" s="565"/>
      <c r="E175" s="70" t="str">
        <f>B170&amp;1</f>
        <v>1</v>
      </c>
      <c r="F175" s="671"/>
      <c r="G175" s="672"/>
      <c r="H175" s="672"/>
      <c r="I175" s="677" t="str">
        <f>IF(B170=""," 9～13年前採用者の３事業年度ごとの平均（ア～ウの平均）","〔"&amp;S15&amp;"～"&amp;T19&amp;"採用者〕の３事業年度ごとの平均（ア～ウの平均）")</f>
        <v xml:space="preserve"> 9～13年前採用者の３事業年度ごとの平均（ア～ウの平均）</v>
      </c>
      <c r="J175" s="678"/>
      <c r="K175" s="678"/>
      <c r="L175" s="678"/>
      <c r="M175" s="678"/>
      <c r="N175" s="678"/>
      <c r="O175" s="678"/>
      <c r="P175" s="678"/>
      <c r="Q175" s="678"/>
      <c r="R175" s="678"/>
      <c r="S175" s="678"/>
      <c r="T175" s="678"/>
      <c r="U175" s="678"/>
      <c r="V175" s="678"/>
      <c r="W175" s="678"/>
      <c r="X175" s="679"/>
      <c r="Y175" s="650" t="str">
        <f>IF(B170="","",VLOOKUP(E175,$E$347:$AA$420,21,FALSE))</f>
        <v/>
      </c>
      <c r="Z175" s="651"/>
      <c r="AA175" s="652"/>
    </row>
    <row r="176" spans="1:28" s="9" customFormat="1" ht="17.25" customHeight="1" x14ac:dyDescent="0.15">
      <c r="B176" s="564"/>
      <c r="C176" s="349"/>
      <c r="D176" s="565"/>
      <c r="E176" s="70" t="str">
        <f>B170&amp;2</f>
        <v>2</v>
      </c>
      <c r="F176" s="673"/>
      <c r="G176" s="674"/>
      <c r="H176" s="674"/>
      <c r="I176" s="680" t="str">
        <f>IF(B170="","10～14年前採用者の　　　　　〃　　　　（イ～エの平均）","〔"&amp;S16&amp;"～"&amp;T20&amp;"採用者〕の　　　　　〃　　　　（イ～エの平均）")</f>
        <v>10～14年前採用者の　　　　　〃　　　　（イ～エの平均）</v>
      </c>
      <c r="J176" s="681"/>
      <c r="K176" s="681"/>
      <c r="L176" s="681"/>
      <c r="M176" s="681"/>
      <c r="N176" s="681"/>
      <c r="O176" s="681"/>
      <c r="P176" s="681"/>
      <c r="Q176" s="681"/>
      <c r="R176" s="681"/>
      <c r="S176" s="681"/>
      <c r="T176" s="681"/>
      <c r="U176" s="681"/>
      <c r="V176" s="681"/>
      <c r="W176" s="681"/>
      <c r="X176" s="682"/>
      <c r="Y176" s="653" t="str">
        <f>IF(B170="","",VLOOKUP(E176,$E$347:$AA$420,21,FALSE))</f>
        <v/>
      </c>
      <c r="Z176" s="654"/>
      <c r="AA176" s="655"/>
    </row>
    <row r="177" spans="2:27" s="9" customFormat="1" ht="17.25" customHeight="1" thickBot="1" x14ac:dyDescent="0.2">
      <c r="B177" s="566"/>
      <c r="C177" s="567"/>
      <c r="D177" s="568"/>
      <c r="E177" s="103" t="str">
        <f>B170&amp;3</f>
        <v>3</v>
      </c>
      <c r="F177" s="675"/>
      <c r="G177" s="676"/>
      <c r="H177" s="676"/>
      <c r="I177" s="683" t="str">
        <f>IF(B170="","11～15年前採用者の　　　　　〃　　　　（ウ～オの平均）","〔"&amp;S17&amp;"～"&amp;T21&amp;"採用者〕の　　　　　〃　　　　（ウ～オの平均）")</f>
        <v>11～15年前採用者の　　　　　〃　　　　（ウ～オの平均）</v>
      </c>
      <c r="J177" s="684"/>
      <c r="K177" s="684"/>
      <c r="L177" s="684"/>
      <c r="M177" s="684"/>
      <c r="N177" s="684"/>
      <c r="O177" s="684"/>
      <c r="P177" s="684"/>
      <c r="Q177" s="684"/>
      <c r="R177" s="684"/>
      <c r="S177" s="684"/>
      <c r="T177" s="684"/>
      <c r="U177" s="684"/>
      <c r="V177" s="684"/>
      <c r="W177" s="684"/>
      <c r="X177" s="685"/>
      <c r="Y177" s="656" t="str">
        <f>IF(B170="","",VLOOKUP(E177,$E$347:$AA$420,21,FALSE))</f>
        <v/>
      </c>
      <c r="Z177" s="657"/>
      <c r="AA177" s="658"/>
    </row>
    <row r="178" spans="2:27" s="9" customFormat="1" ht="17.25" customHeight="1" x14ac:dyDescent="0.15">
      <c r="B178" s="553"/>
      <c r="C178" s="554"/>
      <c r="D178" s="555"/>
      <c r="E178" s="29" t="str">
        <f>IF(B178="","",B178&amp;F$154)</f>
        <v/>
      </c>
      <c r="F178" s="665" t="str">
        <f>IF(B178=""," 9～11年前採用者の10年後継続雇用割合の男女比　　　　　　　　　 上記ア","〔"&amp;S15&amp;"～"&amp;T17&amp;"採用者〕の"&amp;O16&amp;"における継続雇用割合の男女比（上記ア）")</f>
        <v xml:space="preserve"> 9～11年前採用者の10年後継続雇用割合の男女比　　　　　　　　　 上記ア</v>
      </c>
      <c r="G178" s="666"/>
      <c r="H178" s="666"/>
      <c r="I178" s="660"/>
      <c r="J178" s="660"/>
      <c r="K178" s="660"/>
      <c r="L178" s="660"/>
      <c r="M178" s="660"/>
      <c r="N178" s="660"/>
      <c r="O178" s="660"/>
      <c r="P178" s="660"/>
      <c r="Q178" s="660"/>
      <c r="R178" s="660"/>
      <c r="S178" s="660"/>
      <c r="T178" s="660"/>
      <c r="U178" s="660"/>
      <c r="V178" s="660"/>
      <c r="W178" s="660"/>
      <c r="X178" s="661"/>
      <c r="Y178" s="662" t="str">
        <f>IF(B178="","",VLOOKUP(E178,E$153:Y$164,19,FALSE))</f>
        <v/>
      </c>
      <c r="Z178" s="663"/>
      <c r="AA178" s="664"/>
    </row>
    <row r="179" spans="2:27" s="9" customFormat="1" ht="17.25" customHeight="1" x14ac:dyDescent="0.15">
      <c r="B179" s="564"/>
      <c r="C179" s="349"/>
      <c r="D179" s="565"/>
      <c r="E179" s="28" t="str">
        <f>IF(B178="","",B178&amp;DATE(YEAR($I$27)-11,MONTH($I$27),DAY($I$27))&amp;"その2")</f>
        <v/>
      </c>
      <c r="F179" s="665" t="str">
        <f>IF(B178="","10～12年前採用者の　　　　　　〃　　　　　　（アの1年ずつ前）　別紙イ","〔"&amp;S16&amp;"～"&amp;T18&amp;"採用者〕の"&amp;O17&amp;"における　　　　　〃　　　　　別紙イ")</f>
        <v>10～12年前採用者の　　　　　　〃　　　　　　（アの1年ずつ前）　別紙イ</v>
      </c>
      <c r="G179" s="666"/>
      <c r="H179" s="666"/>
      <c r="I179" s="666"/>
      <c r="J179" s="666"/>
      <c r="K179" s="666"/>
      <c r="L179" s="666"/>
      <c r="M179" s="666"/>
      <c r="N179" s="666"/>
      <c r="O179" s="666"/>
      <c r="P179" s="666"/>
      <c r="Q179" s="666"/>
      <c r="R179" s="666"/>
      <c r="S179" s="666"/>
      <c r="T179" s="666"/>
      <c r="U179" s="666"/>
      <c r="V179" s="666"/>
      <c r="W179" s="666"/>
      <c r="X179" s="667"/>
      <c r="Y179" s="653" t="str">
        <f>IF(B178="","",VLOOKUP(E179,$E$347:$AA$420,21,FALSE))</f>
        <v/>
      </c>
      <c r="Z179" s="654"/>
      <c r="AA179" s="668"/>
    </row>
    <row r="180" spans="2:27" s="9" customFormat="1" ht="17.25" customHeight="1" x14ac:dyDescent="0.15">
      <c r="B180" s="564"/>
      <c r="C180" s="349"/>
      <c r="D180" s="565"/>
      <c r="E180" s="28" t="str">
        <f>IF(B178="","",B178&amp;DATE(YEAR($I$27)-12,MONTH($I$27),DAY($I$27)))</f>
        <v/>
      </c>
      <c r="F180" s="665" t="str">
        <f>IF(B178="","11～13年前採用者の　　　　　　〃　　　　　　（アの2年ずつ前）　別紙ウ","〔"&amp;S17&amp;"～"&amp;T19&amp;"採用者〕の"&amp;O18&amp;"における　　　　　〃　　　　　別紙ウ")</f>
        <v>11～13年前採用者の　　　　　　〃　　　　　　（アの2年ずつ前）　別紙ウ</v>
      </c>
      <c r="G180" s="666"/>
      <c r="H180" s="666"/>
      <c r="I180" s="666"/>
      <c r="J180" s="666"/>
      <c r="K180" s="666"/>
      <c r="L180" s="666"/>
      <c r="M180" s="666"/>
      <c r="N180" s="666"/>
      <c r="O180" s="666"/>
      <c r="P180" s="666"/>
      <c r="Q180" s="666"/>
      <c r="R180" s="666"/>
      <c r="S180" s="666"/>
      <c r="T180" s="666"/>
      <c r="U180" s="666"/>
      <c r="V180" s="666"/>
      <c r="W180" s="666"/>
      <c r="X180" s="667"/>
      <c r="Y180" s="653" t="str">
        <f>IF(B178="","",VLOOKUP(E180,$E$347:$AA$420,21,FALSE))</f>
        <v/>
      </c>
      <c r="Z180" s="654"/>
      <c r="AA180" s="668"/>
    </row>
    <row r="181" spans="2:27" s="9" customFormat="1" ht="17.25" customHeight="1" x14ac:dyDescent="0.15">
      <c r="B181" s="564"/>
      <c r="C181" s="349"/>
      <c r="D181" s="565"/>
      <c r="E181" s="28" t="str">
        <f>IF(B178="","",B178&amp;DATE(YEAR($I$27)-13,MONTH($I$27),DAY($I$27)))</f>
        <v/>
      </c>
      <c r="F181" s="665" t="str">
        <f>IF(B178="","12～14年前採用者の　　　　　　〃　　　　　　（アの3年ずつ前）　別紙エ","〔"&amp;S18&amp;"～"&amp;T20&amp;"採用者〕の"&amp;O19&amp;"における　　　　　〃　　　　　別紙エ")</f>
        <v>12～14年前採用者の　　　　　　〃　　　　　　（アの3年ずつ前）　別紙エ</v>
      </c>
      <c r="G181" s="666"/>
      <c r="H181" s="666"/>
      <c r="I181" s="666"/>
      <c r="J181" s="666"/>
      <c r="K181" s="666"/>
      <c r="L181" s="666"/>
      <c r="M181" s="666"/>
      <c r="N181" s="666"/>
      <c r="O181" s="666"/>
      <c r="P181" s="666"/>
      <c r="Q181" s="666"/>
      <c r="R181" s="666"/>
      <c r="S181" s="666"/>
      <c r="T181" s="666"/>
      <c r="U181" s="666"/>
      <c r="V181" s="666"/>
      <c r="W181" s="666"/>
      <c r="X181" s="667"/>
      <c r="Y181" s="653" t="str">
        <f>IF(B178="","",VLOOKUP(E181,$E$347:$AA$420,21,FALSE))</f>
        <v/>
      </c>
      <c r="Z181" s="654"/>
      <c r="AA181" s="668"/>
    </row>
    <row r="182" spans="2:27" s="9" customFormat="1" ht="17.25" customHeight="1" thickBot="1" x14ac:dyDescent="0.2">
      <c r="B182" s="564"/>
      <c r="C182" s="349"/>
      <c r="D182" s="565"/>
      <c r="E182" s="28" t="str">
        <f>IF(B178="","",B178&amp;DATE(YEAR($I$27)-14,MONTH($I$27),DAY($I$27)))</f>
        <v/>
      </c>
      <c r="F182" s="665" t="str">
        <f>IF(B178="","13～15年前採用者の　　　　　　〃　　　　　　（アの4年ずつ前）　別紙オ","〔"&amp;S19&amp;"～"&amp;T21&amp;"採用者〕の"&amp;O20&amp;"における　　　　　〃　　　　　別紙オ")</f>
        <v>13～15年前採用者の　　　　　　〃　　　　　　（アの4年ずつ前）　別紙オ</v>
      </c>
      <c r="G182" s="666"/>
      <c r="H182" s="666"/>
      <c r="I182" s="669"/>
      <c r="J182" s="669"/>
      <c r="K182" s="669"/>
      <c r="L182" s="669"/>
      <c r="M182" s="669"/>
      <c r="N182" s="669"/>
      <c r="O182" s="669"/>
      <c r="P182" s="669"/>
      <c r="Q182" s="669"/>
      <c r="R182" s="669"/>
      <c r="S182" s="669"/>
      <c r="T182" s="669"/>
      <c r="U182" s="669"/>
      <c r="V182" s="669"/>
      <c r="W182" s="669"/>
      <c r="X182" s="670"/>
      <c r="Y182" s="647" t="str">
        <f>IF(B178="","",VLOOKUP(E182,$E$347:$AA$420,21,FALSE))</f>
        <v/>
      </c>
      <c r="Z182" s="648"/>
      <c r="AA182" s="649"/>
    </row>
    <row r="183" spans="2:27" s="9" customFormat="1" ht="17.25" customHeight="1" x14ac:dyDescent="0.15">
      <c r="B183" s="564"/>
      <c r="C183" s="349"/>
      <c r="D183" s="565"/>
      <c r="E183" s="70" t="str">
        <f>B178&amp;1</f>
        <v>1</v>
      </c>
      <c r="F183" s="671"/>
      <c r="G183" s="672"/>
      <c r="H183" s="672"/>
      <c r="I183" s="677" t="str">
        <f>IF(B178=""," 9～13年前採用者の３事業年度ごとの平均（ア～ウの平均）","〔"&amp;S15&amp;"～"&amp;T19&amp;"採用者〕の３事業年度ごとの平均（ア～ウの平均）")</f>
        <v xml:space="preserve"> 9～13年前採用者の３事業年度ごとの平均（ア～ウの平均）</v>
      </c>
      <c r="J183" s="678"/>
      <c r="K183" s="678"/>
      <c r="L183" s="678"/>
      <c r="M183" s="678"/>
      <c r="N183" s="678"/>
      <c r="O183" s="678"/>
      <c r="P183" s="678"/>
      <c r="Q183" s="678"/>
      <c r="R183" s="678"/>
      <c r="S183" s="678"/>
      <c r="T183" s="678"/>
      <c r="U183" s="678"/>
      <c r="V183" s="678"/>
      <c r="W183" s="678"/>
      <c r="X183" s="679"/>
      <c r="Y183" s="650" t="str">
        <f>IF(B178="","",VLOOKUP(E183,$E$347:$AA$420,21,FALSE))</f>
        <v/>
      </c>
      <c r="Z183" s="651"/>
      <c r="AA183" s="652"/>
    </row>
    <row r="184" spans="2:27" s="9" customFormat="1" ht="17.25" customHeight="1" x14ac:dyDescent="0.15">
      <c r="B184" s="564"/>
      <c r="C184" s="349"/>
      <c r="D184" s="565"/>
      <c r="E184" s="70" t="str">
        <f>B178&amp;2</f>
        <v>2</v>
      </c>
      <c r="F184" s="673"/>
      <c r="G184" s="674"/>
      <c r="H184" s="674"/>
      <c r="I184" s="680" t="str">
        <f>IF(B178="","10～14年前採用者の　　　　　〃　　　　（イ～エの平均）","〔"&amp;S16&amp;"～"&amp;T20&amp;"採用者〕の　　　　　〃　　　　（イ～エの平均）")</f>
        <v>10～14年前採用者の　　　　　〃　　　　（イ～エの平均）</v>
      </c>
      <c r="J184" s="681"/>
      <c r="K184" s="681"/>
      <c r="L184" s="681"/>
      <c r="M184" s="681"/>
      <c r="N184" s="681"/>
      <c r="O184" s="681"/>
      <c r="P184" s="681"/>
      <c r="Q184" s="681"/>
      <c r="R184" s="681"/>
      <c r="S184" s="681"/>
      <c r="T184" s="681"/>
      <c r="U184" s="681"/>
      <c r="V184" s="681"/>
      <c r="W184" s="681"/>
      <c r="X184" s="682"/>
      <c r="Y184" s="653" t="str">
        <f>IF(B178="","",VLOOKUP(E184,$E$347:$AA$420,21,FALSE))</f>
        <v/>
      </c>
      <c r="Z184" s="654"/>
      <c r="AA184" s="655"/>
    </row>
    <row r="185" spans="2:27" s="9" customFormat="1" ht="17.25" customHeight="1" thickBot="1" x14ac:dyDescent="0.2">
      <c r="B185" s="566"/>
      <c r="C185" s="567"/>
      <c r="D185" s="568"/>
      <c r="E185" s="103" t="str">
        <f>B178&amp;3</f>
        <v>3</v>
      </c>
      <c r="F185" s="675"/>
      <c r="G185" s="676"/>
      <c r="H185" s="676"/>
      <c r="I185" s="683" t="str">
        <f>IF(B178="","11～15年前採用者の　　　　　〃　　　　（ウ～オの平均）","〔"&amp;S17&amp;"～"&amp;T21&amp;"採用者〕の　　　　　〃　　　　（ウ～オの平均）")</f>
        <v>11～15年前採用者の　　　　　〃　　　　（ウ～オの平均）</v>
      </c>
      <c r="J185" s="684"/>
      <c r="K185" s="684"/>
      <c r="L185" s="684"/>
      <c r="M185" s="684"/>
      <c r="N185" s="684"/>
      <c r="O185" s="684"/>
      <c r="P185" s="684"/>
      <c r="Q185" s="684"/>
      <c r="R185" s="684"/>
      <c r="S185" s="684"/>
      <c r="T185" s="684"/>
      <c r="U185" s="684"/>
      <c r="V185" s="684"/>
      <c r="W185" s="684"/>
      <c r="X185" s="685"/>
      <c r="Y185" s="656" t="str">
        <f>IF(B178="","",VLOOKUP(E185,$E$347:$AA$420,21,FALSE))</f>
        <v/>
      </c>
      <c r="Z185" s="657"/>
      <c r="AA185" s="658"/>
    </row>
    <row r="186" spans="2:27" s="9" customFormat="1" ht="17.25" customHeight="1" x14ac:dyDescent="0.15">
      <c r="B186" s="564"/>
      <c r="C186" s="349"/>
      <c r="D186" s="565"/>
      <c r="E186" s="28" t="str">
        <f>IF(B186="","",B186&amp;F$154)</f>
        <v/>
      </c>
      <c r="F186" s="659" t="str">
        <f>IF(B186=""," 9～11年前採用者の10年後継続雇用割合の男女比　　　　　　　　　 上記ア","〔"&amp;S15&amp;"～"&amp;T17&amp;"採用者〕の"&amp;O16&amp;"における継続雇用割合の男女比（上記ア）")</f>
        <v xml:space="preserve"> 9～11年前採用者の10年後継続雇用割合の男女比　　　　　　　　　 上記ア</v>
      </c>
      <c r="G186" s="660"/>
      <c r="H186" s="660"/>
      <c r="I186" s="660"/>
      <c r="J186" s="660"/>
      <c r="K186" s="660"/>
      <c r="L186" s="660"/>
      <c r="M186" s="660"/>
      <c r="N186" s="660"/>
      <c r="O186" s="660"/>
      <c r="P186" s="660"/>
      <c r="Q186" s="660"/>
      <c r="R186" s="660"/>
      <c r="S186" s="660"/>
      <c r="T186" s="660"/>
      <c r="U186" s="660"/>
      <c r="V186" s="660"/>
      <c r="W186" s="660"/>
      <c r="X186" s="661"/>
      <c r="Y186" s="662" t="str">
        <f>IF(B186="","",VLOOKUP(E186,E$153:Y$164,19,FALSE))</f>
        <v/>
      </c>
      <c r="Z186" s="663"/>
      <c r="AA186" s="664"/>
    </row>
    <row r="187" spans="2:27" s="9" customFormat="1" ht="17.25" customHeight="1" x14ac:dyDescent="0.15">
      <c r="B187" s="564"/>
      <c r="C187" s="349"/>
      <c r="D187" s="565"/>
      <c r="E187" s="28" t="str">
        <f>IF(B186="","",B186&amp;DATE(YEAR($I$27)-11,MONTH($I$27),DAY($I$27))&amp;"その2")</f>
        <v/>
      </c>
      <c r="F187" s="665" t="str">
        <f>IF(B186="","10～12年前採用者の　　　　　　〃　　　　　　（アの1年ずつ前）　別紙イ","〔"&amp;S16&amp;"～"&amp;T18&amp;"採用者〕の"&amp;O17&amp;"における　　　　　〃　　　　　別紙イ")</f>
        <v>10～12年前採用者の　　　　　　〃　　　　　　（アの1年ずつ前）　別紙イ</v>
      </c>
      <c r="G187" s="666"/>
      <c r="H187" s="666"/>
      <c r="I187" s="666"/>
      <c r="J187" s="666"/>
      <c r="K187" s="666"/>
      <c r="L187" s="666"/>
      <c r="M187" s="666"/>
      <c r="N187" s="666"/>
      <c r="O187" s="666"/>
      <c r="P187" s="666"/>
      <c r="Q187" s="666"/>
      <c r="R187" s="666"/>
      <c r="S187" s="666"/>
      <c r="T187" s="666"/>
      <c r="U187" s="666"/>
      <c r="V187" s="666"/>
      <c r="W187" s="666"/>
      <c r="X187" s="667"/>
      <c r="Y187" s="653" t="str">
        <f>IF(B186="","",VLOOKUP(E187,$E$347:$AA$420,21,FALSE))</f>
        <v/>
      </c>
      <c r="Z187" s="654"/>
      <c r="AA187" s="668"/>
    </row>
    <row r="188" spans="2:27" s="9" customFormat="1" ht="17.25" customHeight="1" x14ac:dyDescent="0.15">
      <c r="B188" s="564"/>
      <c r="C188" s="349"/>
      <c r="D188" s="565"/>
      <c r="E188" s="28" t="str">
        <f>IF(B186="","",B186&amp;DATE(YEAR($I$27)-12,MONTH($I$27),DAY($I$27)))</f>
        <v/>
      </c>
      <c r="F188" s="665" t="str">
        <f>IF(B186="","11～13年前採用者の　　　　　　〃　　　　　　（アの2年ずつ前）　別紙ウ","〔"&amp;S17&amp;"～"&amp;T19&amp;"採用者〕の"&amp;O18&amp;"における　　　　　〃　　　　　別紙ウ")</f>
        <v>11～13年前採用者の　　　　　　〃　　　　　　（アの2年ずつ前）　別紙ウ</v>
      </c>
      <c r="G188" s="666"/>
      <c r="H188" s="666"/>
      <c r="I188" s="666"/>
      <c r="J188" s="666"/>
      <c r="K188" s="666"/>
      <c r="L188" s="666"/>
      <c r="M188" s="666"/>
      <c r="N188" s="666"/>
      <c r="O188" s="666"/>
      <c r="P188" s="666"/>
      <c r="Q188" s="666"/>
      <c r="R188" s="666"/>
      <c r="S188" s="666"/>
      <c r="T188" s="666"/>
      <c r="U188" s="666"/>
      <c r="V188" s="666"/>
      <c r="W188" s="666"/>
      <c r="X188" s="667"/>
      <c r="Y188" s="653" t="str">
        <f>IF(B186="","",VLOOKUP(E188,$E$347:$AA$420,21,FALSE))</f>
        <v/>
      </c>
      <c r="Z188" s="654"/>
      <c r="AA188" s="668"/>
    </row>
    <row r="189" spans="2:27" s="9" customFormat="1" ht="17.25" customHeight="1" x14ac:dyDescent="0.15">
      <c r="B189" s="564"/>
      <c r="C189" s="349"/>
      <c r="D189" s="565"/>
      <c r="E189" s="28" t="str">
        <f>IF(B186="","",B186&amp;DATE(YEAR($I$27)-13,MONTH($I$27),DAY($I$27)))</f>
        <v/>
      </c>
      <c r="F189" s="665" t="str">
        <f>IF(B186="","12～14年前採用者の　　　　　　〃　　　　　　（アの3年ずつ前）　別紙エ","〔"&amp;S18&amp;"～"&amp;T20&amp;"採用者〕の"&amp;O19&amp;"における　　　　　〃　　　　　別紙エ")</f>
        <v>12～14年前採用者の　　　　　　〃　　　　　　（アの3年ずつ前）　別紙エ</v>
      </c>
      <c r="G189" s="666"/>
      <c r="H189" s="666"/>
      <c r="I189" s="666"/>
      <c r="J189" s="666"/>
      <c r="K189" s="666"/>
      <c r="L189" s="666"/>
      <c r="M189" s="666"/>
      <c r="N189" s="666"/>
      <c r="O189" s="666"/>
      <c r="P189" s="666"/>
      <c r="Q189" s="666"/>
      <c r="R189" s="666"/>
      <c r="S189" s="666"/>
      <c r="T189" s="666"/>
      <c r="U189" s="666"/>
      <c r="V189" s="666"/>
      <c r="W189" s="666"/>
      <c r="X189" s="667"/>
      <c r="Y189" s="653" t="str">
        <f>IF(B186="","",VLOOKUP(E189,$E$347:$AA$420,21,FALSE))</f>
        <v/>
      </c>
      <c r="Z189" s="654"/>
      <c r="AA189" s="668"/>
    </row>
    <row r="190" spans="2:27" s="9" customFormat="1" ht="17.25" customHeight="1" thickBot="1" x14ac:dyDescent="0.2">
      <c r="B190" s="564"/>
      <c r="C190" s="349"/>
      <c r="D190" s="565"/>
      <c r="E190" s="28" t="str">
        <f>IF(B186="","",B186&amp;DATE(YEAR($I$27)-14,MONTH($I$27),DAY($I$27)))</f>
        <v/>
      </c>
      <c r="F190" s="665" t="str">
        <f>IF(B186="","13～15年前採用者の　　　　　　〃　　　　　　（アの4年ずつ前）　別紙オ","〔"&amp;S19&amp;"～"&amp;T21&amp;"採用者〕の"&amp;O20&amp;"における　　　　　〃　　　　　別紙オ")</f>
        <v>13～15年前採用者の　　　　　　〃　　　　　　（アの4年ずつ前）　別紙オ</v>
      </c>
      <c r="G190" s="666"/>
      <c r="H190" s="666"/>
      <c r="I190" s="669"/>
      <c r="J190" s="669"/>
      <c r="K190" s="669"/>
      <c r="L190" s="669"/>
      <c r="M190" s="669"/>
      <c r="N190" s="669"/>
      <c r="O190" s="669"/>
      <c r="P190" s="669"/>
      <c r="Q190" s="669"/>
      <c r="R190" s="669"/>
      <c r="S190" s="669"/>
      <c r="T190" s="669"/>
      <c r="U190" s="669"/>
      <c r="V190" s="669"/>
      <c r="W190" s="669"/>
      <c r="X190" s="670"/>
      <c r="Y190" s="647" t="str">
        <f>IF(B186="","",VLOOKUP(E190,$E$347:$AA$420,21,FALSE))</f>
        <v/>
      </c>
      <c r="Z190" s="648"/>
      <c r="AA190" s="649"/>
    </row>
    <row r="191" spans="2:27" s="9" customFormat="1" ht="17.25" customHeight="1" x14ac:dyDescent="0.15">
      <c r="B191" s="564"/>
      <c r="C191" s="349"/>
      <c r="D191" s="565"/>
      <c r="E191" s="70" t="str">
        <f>B186&amp;1</f>
        <v>1</v>
      </c>
      <c r="F191" s="671"/>
      <c r="G191" s="672"/>
      <c r="H191" s="672"/>
      <c r="I191" s="677" t="str">
        <f>IF(B186=""," 9～13年前採用者の３事業年度ごとの平均（ア～ウの平均）","〔"&amp;S15&amp;"～"&amp;T19&amp;"採用者〕の３事業年度ごとの平均（ア～ウの平均）")</f>
        <v xml:space="preserve"> 9～13年前採用者の３事業年度ごとの平均（ア～ウの平均）</v>
      </c>
      <c r="J191" s="678"/>
      <c r="K191" s="678"/>
      <c r="L191" s="678"/>
      <c r="M191" s="678"/>
      <c r="N191" s="678"/>
      <c r="O191" s="678"/>
      <c r="P191" s="678"/>
      <c r="Q191" s="678"/>
      <c r="R191" s="678"/>
      <c r="S191" s="678"/>
      <c r="T191" s="678"/>
      <c r="U191" s="678"/>
      <c r="V191" s="678"/>
      <c r="W191" s="678"/>
      <c r="X191" s="679"/>
      <c r="Y191" s="650" t="str">
        <f>IF(B186="","",VLOOKUP(E191,$E$347:$AA$420,21,FALSE))</f>
        <v/>
      </c>
      <c r="Z191" s="651"/>
      <c r="AA191" s="652"/>
    </row>
    <row r="192" spans="2:27" s="9" customFormat="1" ht="17.25" customHeight="1" x14ac:dyDescent="0.15">
      <c r="B192" s="564"/>
      <c r="C192" s="349"/>
      <c r="D192" s="565"/>
      <c r="E192" s="70" t="str">
        <f>B186&amp;2</f>
        <v>2</v>
      </c>
      <c r="F192" s="673"/>
      <c r="G192" s="674"/>
      <c r="H192" s="674"/>
      <c r="I192" s="680" t="str">
        <f>IF(B186="","10～14年前採用者の　　　　　〃　　　　（イ～エの平均）","〔"&amp;S16&amp;"～"&amp;T20&amp;"採用者〕の　　　　　〃　　　　（イ～エの平均）")</f>
        <v>10～14年前採用者の　　　　　〃　　　　（イ～エの平均）</v>
      </c>
      <c r="J192" s="681"/>
      <c r="K192" s="681"/>
      <c r="L192" s="681"/>
      <c r="M192" s="681"/>
      <c r="N192" s="681"/>
      <c r="O192" s="681"/>
      <c r="P192" s="681"/>
      <c r="Q192" s="681"/>
      <c r="R192" s="681"/>
      <c r="S192" s="681"/>
      <c r="T192" s="681"/>
      <c r="U192" s="681"/>
      <c r="V192" s="681"/>
      <c r="W192" s="681"/>
      <c r="X192" s="682"/>
      <c r="Y192" s="653" t="str">
        <f>IF(B186="","",VLOOKUP(E192,$E$347:$AA$420,21,FALSE))</f>
        <v/>
      </c>
      <c r="Z192" s="654"/>
      <c r="AA192" s="655"/>
    </row>
    <row r="193" spans="2:27" s="9" customFormat="1" ht="17.25" customHeight="1" thickBot="1" x14ac:dyDescent="0.2">
      <c r="B193" s="566"/>
      <c r="C193" s="567"/>
      <c r="D193" s="568"/>
      <c r="E193" s="103" t="str">
        <f>B186&amp;3</f>
        <v>3</v>
      </c>
      <c r="F193" s="675"/>
      <c r="G193" s="676"/>
      <c r="H193" s="676"/>
      <c r="I193" s="683" t="str">
        <f>IF(B186="","11～15年前採用者の　　　　　〃　　　　（ウ～オの平均）","〔"&amp;S17&amp;"～"&amp;T21&amp;"採用者〕の　　　　　〃　　　　（ウ～オの平均）")</f>
        <v>11～15年前採用者の　　　　　〃　　　　（ウ～オの平均）</v>
      </c>
      <c r="J193" s="684"/>
      <c r="K193" s="684"/>
      <c r="L193" s="684"/>
      <c r="M193" s="684"/>
      <c r="N193" s="684"/>
      <c r="O193" s="684"/>
      <c r="P193" s="684"/>
      <c r="Q193" s="684"/>
      <c r="R193" s="684"/>
      <c r="S193" s="684"/>
      <c r="T193" s="684"/>
      <c r="U193" s="684"/>
      <c r="V193" s="684"/>
      <c r="W193" s="684"/>
      <c r="X193" s="685"/>
      <c r="Y193" s="656" t="str">
        <f>IF(B186="","",VLOOKUP(E193,$E$347:$AA$420,21,FALSE))</f>
        <v/>
      </c>
      <c r="Z193" s="657"/>
      <c r="AA193" s="658"/>
    </row>
    <row r="194" spans="2:27" s="9" customFormat="1" ht="17.25" customHeight="1" x14ac:dyDescent="0.15">
      <c r="B194" s="61"/>
      <c r="C194" s="61"/>
      <c r="D194" s="61"/>
      <c r="E194" s="71"/>
      <c r="F194" s="71"/>
      <c r="G194" s="71"/>
      <c r="H194" s="71"/>
      <c r="I194" s="19"/>
      <c r="J194" s="19"/>
      <c r="K194" s="19"/>
      <c r="L194" s="19"/>
      <c r="M194" s="19"/>
      <c r="N194" s="76"/>
      <c r="O194" s="76"/>
      <c r="P194" s="19"/>
      <c r="Q194" s="19"/>
      <c r="R194" s="19"/>
      <c r="S194" s="19"/>
      <c r="T194" s="19"/>
      <c r="U194" s="76"/>
      <c r="V194" s="76"/>
      <c r="W194" s="72"/>
      <c r="X194" s="72"/>
      <c r="Y194" s="72"/>
      <c r="Z194" s="1"/>
      <c r="AA194" s="1"/>
    </row>
    <row r="195" spans="2:27" ht="17.25" customHeight="1" x14ac:dyDescent="0.15">
      <c r="B195" s="1" t="s">
        <v>157</v>
      </c>
      <c r="AA195" s="169" t="str">
        <f>IF(G$23="","",G$23)</f>
        <v/>
      </c>
    </row>
    <row r="196" spans="2:27" s="9" customFormat="1" ht="17.25" customHeight="1" x14ac:dyDescent="0.15">
      <c r="E196" s="25"/>
    </row>
    <row r="197" spans="2:27" ht="17.25" customHeight="1" thickBot="1" x14ac:dyDescent="0.2">
      <c r="B197" s="17" t="s">
        <v>131</v>
      </c>
    </row>
    <row r="198" spans="2:27" s="9" customFormat="1" ht="47.25" customHeight="1" thickTop="1" x14ac:dyDescent="0.15">
      <c r="B198" s="637" t="s">
        <v>5</v>
      </c>
      <c r="C198" s="638"/>
      <c r="D198" s="638"/>
      <c r="E198" s="638"/>
      <c r="F198" s="638"/>
      <c r="G198" s="601" t="s">
        <v>39</v>
      </c>
      <c r="H198" s="639"/>
      <c r="I198" s="639"/>
      <c r="J198" s="639"/>
      <c r="K198" s="640"/>
      <c r="L198" s="478" t="s">
        <v>236</v>
      </c>
      <c r="M198" s="779"/>
      <c r="N198" s="779"/>
      <c r="O198" s="779"/>
      <c r="P198" s="779"/>
      <c r="Q198" s="780"/>
      <c r="R198" s="601" t="s">
        <v>35</v>
      </c>
      <c r="S198" s="640"/>
      <c r="T198" s="64"/>
      <c r="U198" s="64"/>
      <c r="V198" s="64"/>
      <c r="W198" s="64"/>
    </row>
    <row r="199" spans="2:27" s="9" customFormat="1" ht="17.25" customHeight="1" x14ac:dyDescent="0.15">
      <c r="B199" s="485" t="str">
        <f>IF($I$27="","",$I$27)</f>
        <v/>
      </c>
      <c r="C199" s="486"/>
      <c r="D199" s="486"/>
      <c r="E199" s="486"/>
      <c r="F199" s="486"/>
      <c r="G199" s="641"/>
      <c r="H199" s="642"/>
      <c r="I199" s="642"/>
      <c r="J199" s="642"/>
      <c r="K199" s="643"/>
      <c r="L199" s="815" t="str">
        <f>IF(B199="","",IF(R26="",R25,R26))</f>
        <v/>
      </c>
      <c r="M199" s="816"/>
      <c r="N199" s="816"/>
      <c r="O199" s="816"/>
      <c r="P199" s="816"/>
      <c r="Q199" s="817"/>
      <c r="R199" s="421"/>
      <c r="S199" s="422"/>
      <c r="T199" s="936" t="str">
        <f>IF(G23="","",IF(OR(L199="",L200=""),"←Ｂ欄上段に産業分類（製造業は中分類）を、下段に産業平均値を記載",""))</f>
        <v/>
      </c>
      <c r="U199" s="937"/>
      <c r="V199" s="937"/>
      <c r="W199" s="937"/>
      <c r="X199" s="937"/>
      <c r="Y199" s="937"/>
      <c r="Z199" s="937"/>
      <c r="AA199" s="937"/>
    </row>
    <row r="200" spans="2:27" s="9" customFormat="1" ht="17.25" customHeight="1" thickBot="1" x14ac:dyDescent="0.2">
      <c r="B200" s="488"/>
      <c r="C200" s="489"/>
      <c r="D200" s="489"/>
      <c r="E200" s="489"/>
      <c r="F200" s="489"/>
      <c r="G200" s="644"/>
      <c r="H200" s="645"/>
      <c r="I200" s="645"/>
      <c r="J200" s="645"/>
      <c r="K200" s="646"/>
      <c r="L200" s="933"/>
      <c r="M200" s="934"/>
      <c r="N200" s="934"/>
      <c r="O200" s="934"/>
      <c r="P200" s="934"/>
      <c r="Q200" s="935"/>
      <c r="R200" s="425"/>
      <c r="S200" s="426"/>
      <c r="T200" s="936"/>
      <c r="U200" s="937"/>
      <c r="V200" s="937"/>
      <c r="W200" s="937"/>
      <c r="X200" s="937"/>
      <c r="Y200" s="937"/>
      <c r="Z200" s="937"/>
      <c r="AA200" s="937"/>
    </row>
    <row r="201" spans="2:27" ht="17.25" customHeight="1" thickTop="1" x14ac:dyDescent="0.15">
      <c r="S201" s="35" t="str">
        <f>IF(G23="","",IF(R199="","リストから選択↑　",""))</f>
        <v/>
      </c>
    </row>
    <row r="202" spans="2:27" ht="17.25" customHeight="1" x14ac:dyDescent="0.15">
      <c r="B202" s="9" t="s">
        <v>214</v>
      </c>
      <c r="L202" s="10"/>
    </row>
    <row r="203" spans="2:27" s="9" customFormat="1" ht="47.25" customHeight="1" x14ac:dyDescent="0.15">
      <c r="B203" s="409" t="s">
        <v>185</v>
      </c>
      <c r="C203" s="410"/>
      <c r="D203" s="410"/>
      <c r="E203" s="410"/>
      <c r="F203" s="411"/>
      <c r="G203" s="409" t="s">
        <v>186</v>
      </c>
      <c r="H203" s="410"/>
      <c r="I203" s="410"/>
      <c r="J203" s="410"/>
      <c r="K203" s="411"/>
      <c r="L203" s="10"/>
    </row>
    <row r="204" spans="2:27" s="3" customFormat="1" ht="17.25" customHeight="1" x14ac:dyDescent="0.15">
      <c r="B204" s="403" t="str">
        <f>IF($R$199="非該当",DATE(YEAR($I$27)-1,MONTH($I$27),DAY($I$27)),"")</f>
        <v/>
      </c>
      <c r="C204" s="404"/>
      <c r="D204" s="404"/>
      <c r="E204" s="404"/>
      <c r="F204" s="405"/>
      <c r="G204" s="631"/>
      <c r="H204" s="632"/>
      <c r="I204" s="632"/>
      <c r="J204" s="632"/>
      <c r="K204" s="633"/>
      <c r="L204" s="920" t="s">
        <v>187</v>
      </c>
      <c r="M204" s="921"/>
      <c r="N204" s="921"/>
      <c r="O204" s="921"/>
      <c r="P204" s="921"/>
      <c r="Q204" s="921"/>
      <c r="R204" s="921"/>
      <c r="S204" s="922"/>
    </row>
    <row r="205" spans="2:27" s="3" customFormat="1" ht="17.25" customHeight="1" x14ac:dyDescent="0.15">
      <c r="B205" s="403" t="str">
        <f>IF($R$199="非該当",DATE(YEAR($I$27)-2,MONTH($I$27),DAY($I$27)),"")</f>
        <v/>
      </c>
      <c r="C205" s="404"/>
      <c r="D205" s="404"/>
      <c r="E205" s="404"/>
      <c r="F205" s="405"/>
      <c r="G205" s="631"/>
      <c r="H205" s="632"/>
      <c r="I205" s="632"/>
      <c r="J205" s="632"/>
      <c r="K205" s="633"/>
      <c r="L205" s="468" t="str">
        <f>IF(B205="","～",P16&amp;"～"&amp;Q18)</f>
        <v>～</v>
      </c>
      <c r="M205" s="469"/>
      <c r="N205" s="469"/>
      <c r="O205" s="470"/>
      <c r="P205" s="634" t="str">
        <f>IF(B205="","",ROUND(AVERAGE(G199,G204,G205),1))</f>
        <v/>
      </c>
      <c r="Q205" s="635"/>
      <c r="R205" s="635"/>
      <c r="S205" s="636"/>
      <c r="T205" s="42"/>
      <c r="V205" s="42"/>
      <c r="W205" s="42"/>
      <c r="X205" s="42"/>
      <c r="Y205" s="42"/>
      <c r="Z205" s="42"/>
      <c r="AA205" s="42"/>
    </row>
    <row r="206" spans="2:27" s="3" customFormat="1" ht="17.25" customHeight="1" x14ac:dyDescent="0.15">
      <c r="B206" s="403" t="str">
        <f>IF($R$199="非該当",DATE(YEAR($I$27)-3,MONTH($I$27),DAY($I$27)),"")</f>
        <v/>
      </c>
      <c r="C206" s="404"/>
      <c r="D206" s="404"/>
      <c r="E206" s="404"/>
      <c r="F206" s="405"/>
      <c r="G206" s="631"/>
      <c r="H206" s="632"/>
      <c r="I206" s="632"/>
      <c r="J206" s="632"/>
      <c r="K206" s="633"/>
      <c r="L206" s="468" t="str">
        <f>IF(B206="","～",P17&amp;"～"&amp;Q19)</f>
        <v>～</v>
      </c>
      <c r="M206" s="469"/>
      <c r="N206" s="469"/>
      <c r="O206" s="470"/>
      <c r="P206" s="634" t="str">
        <f>IF(B206="","",ROUND(AVERAGE(G204,G205,G206),1))</f>
        <v/>
      </c>
      <c r="Q206" s="635"/>
      <c r="R206" s="635"/>
      <c r="S206" s="636"/>
      <c r="T206" s="42"/>
      <c r="V206" s="42"/>
      <c r="W206" s="42"/>
      <c r="X206" s="42"/>
      <c r="Y206" s="42"/>
      <c r="Z206" s="42"/>
      <c r="AA206" s="42"/>
    </row>
    <row r="207" spans="2:27" s="3" customFormat="1" ht="17.25" customHeight="1" x14ac:dyDescent="0.15">
      <c r="B207" s="403" t="str">
        <f>IF($R$199="非該当",DATE(YEAR($I$27)-4,MONTH($I$27),DAY($I$27)),"")</f>
        <v/>
      </c>
      <c r="C207" s="404"/>
      <c r="D207" s="404"/>
      <c r="E207" s="404"/>
      <c r="F207" s="405"/>
      <c r="G207" s="631"/>
      <c r="H207" s="632"/>
      <c r="I207" s="632"/>
      <c r="J207" s="632"/>
      <c r="K207" s="633"/>
      <c r="L207" s="468" t="str">
        <f>IF(B207="","～",P18&amp;"～"&amp;Q20)</f>
        <v>～</v>
      </c>
      <c r="M207" s="469"/>
      <c r="N207" s="469"/>
      <c r="O207" s="470"/>
      <c r="P207" s="634" t="str">
        <f>IF(B207="","",ROUND(AVERAGE(G205,G206,G207),1))</f>
        <v/>
      </c>
      <c r="Q207" s="635"/>
      <c r="R207" s="635"/>
      <c r="S207" s="636"/>
      <c r="T207" s="42"/>
      <c r="V207" s="42"/>
      <c r="W207" s="42"/>
      <c r="X207" s="42"/>
      <c r="Y207" s="42"/>
      <c r="Z207" s="42"/>
      <c r="AA207" s="42"/>
    </row>
    <row r="208" spans="2:27" s="43" customFormat="1" ht="17.25" customHeight="1" x14ac:dyDescent="0.15">
      <c r="E208" s="20"/>
      <c r="L208" s="79"/>
    </row>
    <row r="209" spans="2:27" ht="30.75" customHeight="1" x14ac:dyDescent="0.15">
      <c r="B209" s="2" t="s">
        <v>158</v>
      </c>
      <c r="H209" s="2"/>
      <c r="AA209" s="169" t="str">
        <f>IF(G$23="","",G$23)</f>
        <v/>
      </c>
    </row>
    <row r="210" spans="2:27" s="3" customFormat="1" ht="17.25" customHeight="1" x14ac:dyDescent="0.15">
      <c r="B210" s="372" t="s">
        <v>149</v>
      </c>
      <c r="C210" s="373"/>
      <c r="D210" s="373"/>
      <c r="E210" s="373"/>
      <c r="F210" s="373"/>
      <c r="G210" s="373"/>
      <c r="H210" s="373"/>
      <c r="I210" s="373"/>
      <c r="J210" s="373"/>
      <c r="K210" s="373"/>
      <c r="L210" s="373"/>
      <c r="M210" s="373"/>
      <c r="N210" s="373"/>
      <c r="O210" s="373"/>
      <c r="P210" s="373"/>
      <c r="Q210" s="373"/>
      <c r="R210" s="373"/>
      <c r="S210" s="373"/>
      <c r="T210" s="373"/>
      <c r="U210" s="373"/>
      <c r="V210" s="373"/>
      <c r="W210" s="373"/>
      <c r="X210" s="373"/>
      <c r="Y210" s="373"/>
      <c r="Z210" s="373"/>
      <c r="AA210" s="374"/>
    </row>
    <row r="211" spans="2:27" s="13" customFormat="1" ht="27" customHeight="1" x14ac:dyDescent="0.15">
      <c r="B211" s="354" t="s">
        <v>16</v>
      </c>
      <c r="C211" s="355"/>
      <c r="D211" s="355"/>
      <c r="E211" s="355"/>
      <c r="F211" s="355"/>
      <c r="G211" s="355"/>
      <c r="H211" s="355"/>
      <c r="I211" s="355"/>
      <c r="J211" s="355"/>
      <c r="K211" s="355"/>
      <c r="L211" s="355"/>
      <c r="M211" s="355"/>
      <c r="N211" s="355"/>
      <c r="O211" s="355"/>
      <c r="P211" s="355"/>
      <c r="Q211" s="355"/>
      <c r="R211" s="355"/>
      <c r="S211" s="355"/>
      <c r="T211" s="355"/>
      <c r="U211" s="355"/>
      <c r="V211" s="355"/>
      <c r="W211" s="355"/>
      <c r="X211" s="355"/>
      <c r="Y211" s="355"/>
      <c r="Z211" s="355"/>
      <c r="AA211" s="356"/>
    </row>
    <row r="212" spans="2:27" s="13" customFormat="1" ht="27" customHeight="1" x14ac:dyDescent="0.15">
      <c r="B212" s="357" t="s">
        <v>17</v>
      </c>
      <c r="C212" s="509"/>
      <c r="D212" s="509"/>
      <c r="E212" s="509"/>
      <c r="F212" s="509"/>
      <c r="G212" s="509"/>
      <c r="H212" s="509"/>
      <c r="I212" s="509"/>
      <c r="J212" s="509"/>
      <c r="K212" s="509"/>
      <c r="L212" s="509"/>
      <c r="M212" s="509"/>
      <c r="N212" s="509"/>
      <c r="O212" s="509"/>
      <c r="P212" s="509"/>
      <c r="Q212" s="509"/>
      <c r="R212" s="509"/>
      <c r="S212" s="509"/>
      <c r="T212" s="509"/>
      <c r="U212" s="509"/>
      <c r="V212" s="509"/>
      <c r="W212" s="509"/>
      <c r="X212" s="509"/>
      <c r="Y212" s="509"/>
      <c r="Z212" s="509"/>
      <c r="AA212" s="510"/>
    </row>
    <row r="213" spans="2:27" s="13" customFormat="1" ht="17.25" customHeight="1" x14ac:dyDescent="0.15">
      <c r="B213" s="357" t="s">
        <v>18</v>
      </c>
      <c r="C213" s="509"/>
      <c r="D213" s="509"/>
      <c r="E213" s="509"/>
      <c r="F213" s="509"/>
      <c r="G213" s="509"/>
      <c r="H213" s="509"/>
      <c r="I213" s="509"/>
      <c r="J213" s="509"/>
      <c r="K213" s="509"/>
      <c r="L213" s="509"/>
      <c r="M213" s="509"/>
      <c r="N213" s="509"/>
      <c r="O213" s="509"/>
      <c r="P213" s="509"/>
      <c r="Q213" s="509"/>
      <c r="R213" s="509"/>
      <c r="S213" s="509"/>
      <c r="T213" s="509"/>
      <c r="U213" s="509"/>
      <c r="V213" s="509"/>
      <c r="W213" s="509"/>
      <c r="X213" s="509"/>
      <c r="Y213" s="509"/>
      <c r="Z213" s="509"/>
      <c r="AA213" s="510"/>
    </row>
    <row r="214" spans="2:27" s="13" customFormat="1" ht="27" customHeight="1" x14ac:dyDescent="0.15">
      <c r="B214" s="360" t="s">
        <v>90</v>
      </c>
      <c r="C214" s="511"/>
      <c r="D214" s="511"/>
      <c r="E214" s="511"/>
      <c r="F214" s="511"/>
      <c r="G214" s="511"/>
      <c r="H214" s="511"/>
      <c r="I214" s="511"/>
      <c r="J214" s="511"/>
      <c r="K214" s="511"/>
      <c r="L214" s="511"/>
      <c r="M214" s="511"/>
      <c r="N214" s="511"/>
      <c r="O214" s="511"/>
      <c r="P214" s="511"/>
      <c r="Q214" s="511"/>
      <c r="R214" s="511"/>
      <c r="S214" s="511"/>
      <c r="T214" s="511"/>
      <c r="U214" s="511"/>
      <c r="V214" s="511"/>
      <c r="W214" s="511"/>
      <c r="X214" s="511"/>
      <c r="Y214" s="511"/>
      <c r="Z214" s="511"/>
      <c r="AA214" s="512"/>
    </row>
    <row r="215" spans="2:27" ht="17.25" customHeight="1" x14ac:dyDescent="0.15"/>
    <row r="216" spans="2:27" ht="17.25" customHeight="1" x14ac:dyDescent="0.15">
      <c r="B216" s="18" t="s">
        <v>22</v>
      </c>
    </row>
    <row r="217" spans="2:27" ht="16.5" customHeight="1" thickBot="1" x14ac:dyDescent="0.2">
      <c r="C217" s="102" t="s">
        <v>245</v>
      </c>
      <c r="D217" s="102"/>
      <c r="E217" s="102"/>
      <c r="F217" s="102"/>
      <c r="G217" s="102"/>
      <c r="H217" s="102"/>
      <c r="I217" s="102"/>
      <c r="J217" s="102"/>
      <c r="K217" s="102"/>
      <c r="L217" s="102"/>
      <c r="M217" s="102"/>
      <c r="N217" s="102"/>
      <c r="O217" s="102"/>
      <c r="P217" s="102"/>
      <c r="Q217" s="102"/>
      <c r="R217" s="102"/>
      <c r="S217" s="102"/>
      <c r="T217" s="102"/>
      <c r="U217" s="102"/>
      <c r="V217" s="102"/>
      <c r="W217" s="102"/>
      <c r="X217" s="102"/>
      <c r="Y217" s="102"/>
      <c r="Z217" s="102"/>
      <c r="AA217" s="102"/>
    </row>
    <row r="218" spans="2:27" s="9" customFormat="1" ht="54" customHeight="1" thickTop="1" thickBot="1" x14ac:dyDescent="0.2">
      <c r="B218" s="366" t="s">
        <v>0</v>
      </c>
      <c r="C218" s="367"/>
      <c r="D218" s="368"/>
      <c r="E218" s="71"/>
      <c r="F218" s="366" t="s">
        <v>19</v>
      </c>
      <c r="G218" s="367"/>
      <c r="H218" s="368"/>
      <c r="I218" s="409" t="s">
        <v>215</v>
      </c>
      <c r="J218" s="410"/>
      <c r="K218" s="411"/>
      <c r="L218" s="409" t="s">
        <v>216</v>
      </c>
      <c r="M218" s="367"/>
      <c r="N218" s="601" t="s">
        <v>217</v>
      </c>
      <c r="O218" s="602"/>
      <c r="P218" s="367" t="s">
        <v>19</v>
      </c>
      <c r="Q218" s="367"/>
      <c r="R218" s="368"/>
      <c r="S218" s="409" t="s">
        <v>215</v>
      </c>
      <c r="T218" s="410"/>
      <c r="U218" s="411"/>
      <c r="V218" s="409" t="s">
        <v>216</v>
      </c>
      <c r="W218" s="367"/>
      <c r="X218" s="601" t="s">
        <v>217</v>
      </c>
      <c r="Y218" s="602"/>
      <c r="Z218" s="629" t="s">
        <v>197</v>
      </c>
      <c r="AA218" s="630"/>
    </row>
    <row r="219" spans="2:27" ht="17.25" customHeight="1" thickTop="1" thickBot="1" x14ac:dyDescent="0.2">
      <c r="B219" s="612"/>
      <c r="C219" s="613"/>
      <c r="D219" s="614"/>
      <c r="E219" s="24"/>
      <c r="F219" s="547" t="str">
        <f>IF($B219="","　　年　月",DATE(YEAR($I$27),MONTH($I$27),DAY($I$27)))</f>
        <v>　　年　月</v>
      </c>
      <c r="G219" s="548"/>
      <c r="H219" s="549"/>
      <c r="I219" s="607"/>
      <c r="J219" s="608"/>
      <c r="K219" s="609"/>
      <c r="L219" s="463"/>
      <c r="M219" s="593"/>
      <c r="N219" s="621" t="str">
        <f>IF($B$219="","",I219/L219)</f>
        <v/>
      </c>
      <c r="O219" s="622"/>
      <c r="P219" s="548" t="str">
        <f>IF($B219="","　　年　月",DATE(YEAR($I$27),MONTH($I$27)+6,DAY($I$27)))</f>
        <v>　　年　月</v>
      </c>
      <c r="Q219" s="548"/>
      <c r="R219" s="549"/>
      <c r="S219" s="607"/>
      <c r="T219" s="608"/>
      <c r="U219" s="609"/>
      <c r="V219" s="463"/>
      <c r="W219" s="593"/>
      <c r="X219" s="621" t="str">
        <f>IF($B$219="","",S219/V219)</f>
        <v/>
      </c>
      <c r="Y219" s="622"/>
      <c r="Z219" s="623" t="str">
        <f>IF(B219="","",IF(COUNTIF(N219:O224,"&gt;=45")+COUNTIF(X219:Y224,"&gt;=45")&gt;0,"Ａ≧45　あり","全月　　Ａ＜45"))</f>
        <v/>
      </c>
      <c r="AA219" s="624"/>
    </row>
    <row r="220" spans="2:27" ht="17.25" customHeight="1" thickTop="1" thickBot="1" x14ac:dyDescent="0.2">
      <c r="B220" s="615"/>
      <c r="C220" s="616"/>
      <c r="D220" s="617"/>
      <c r="E220" s="24"/>
      <c r="F220" s="547" t="str">
        <f>IF($B219="","　　年　月",DATE(YEAR($I$27),MONTH($I$27)+1,DAY($I$27)))</f>
        <v>　　年　月</v>
      </c>
      <c r="G220" s="548"/>
      <c r="H220" s="549"/>
      <c r="I220" s="596"/>
      <c r="J220" s="597"/>
      <c r="K220" s="598"/>
      <c r="L220" s="463"/>
      <c r="M220" s="593"/>
      <c r="N220" s="594" t="str">
        <f>IF($B$219="","",I220/L220)</f>
        <v/>
      </c>
      <c r="O220" s="595"/>
      <c r="P220" s="548" t="str">
        <f>IF($B219="","　　年　月",DATE(YEAR($I$27),MONTH($I$27)+7,DAY($I$27)))</f>
        <v>　　年　月</v>
      </c>
      <c r="Q220" s="548"/>
      <c r="R220" s="549"/>
      <c r="S220" s="596"/>
      <c r="T220" s="597"/>
      <c r="U220" s="598"/>
      <c r="V220" s="463"/>
      <c r="W220" s="593"/>
      <c r="X220" s="594" t="str">
        <f t="shared" ref="X220:X223" si="11">IF($B$219="","",S220/V220)</f>
        <v/>
      </c>
      <c r="Y220" s="595"/>
      <c r="Z220" s="623"/>
      <c r="AA220" s="624"/>
    </row>
    <row r="221" spans="2:27" ht="17.25" customHeight="1" thickTop="1" thickBot="1" x14ac:dyDescent="0.2">
      <c r="B221" s="615"/>
      <c r="C221" s="616"/>
      <c r="D221" s="617"/>
      <c r="E221" s="24"/>
      <c r="F221" s="547" t="str">
        <f>IF($B219="","　　年　月",DATE(YEAR($I$27),MONTH($I$27)+2,DAY($I$27)))</f>
        <v>　　年　月</v>
      </c>
      <c r="G221" s="548"/>
      <c r="H221" s="549"/>
      <c r="I221" s="596"/>
      <c r="J221" s="597"/>
      <c r="K221" s="598"/>
      <c r="L221" s="463"/>
      <c r="M221" s="593"/>
      <c r="N221" s="594" t="str">
        <f t="shared" ref="N221:N223" si="12">IF($B$219="","",I221/L221)</f>
        <v/>
      </c>
      <c r="O221" s="595"/>
      <c r="P221" s="548" t="str">
        <f>IF($B219="","　　年　月",DATE(YEAR($I$27),MONTH($I$27)+8,DAY($I$27)))</f>
        <v>　　年　月</v>
      </c>
      <c r="Q221" s="548"/>
      <c r="R221" s="549"/>
      <c r="S221" s="596"/>
      <c r="T221" s="597"/>
      <c r="U221" s="598"/>
      <c r="V221" s="463"/>
      <c r="W221" s="593"/>
      <c r="X221" s="594" t="str">
        <f t="shared" si="11"/>
        <v/>
      </c>
      <c r="Y221" s="595"/>
      <c r="Z221" s="623"/>
      <c r="AA221" s="624"/>
    </row>
    <row r="222" spans="2:27" ht="17.25" customHeight="1" thickTop="1" thickBot="1" x14ac:dyDescent="0.2">
      <c r="B222" s="615"/>
      <c r="C222" s="616"/>
      <c r="D222" s="617"/>
      <c r="E222" s="24"/>
      <c r="F222" s="547" t="str">
        <f>IF($B219="","　　年　月",DATE(YEAR($I$27),MONTH($I$27)+3,DAY($I$27)))</f>
        <v>　　年　月</v>
      </c>
      <c r="G222" s="548"/>
      <c r="H222" s="549"/>
      <c r="I222" s="596"/>
      <c r="J222" s="597"/>
      <c r="K222" s="598"/>
      <c r="L222" s="463"/>
      <c r="M222" s="593"/>
      <c r="N222" s="594" t="str">
        <f t="shared" si="12"/>
        <v/>
      </c>
      <c r="O222" s="595"/>
      <c r="P222" s="548" t="str">
        <f>IF($B219="","　　年　月",DATE(YEAR($I$27),MONTH($I$27)+9,DAY($I$27)))</f>
        <v>　　年　月</v>
      </c>
      <c r="Q222" s="548"/>
      <c r="R222" s="549"/>
      <c r="S222" s="596"/>
      <c r="T222" s="597"/>
      <c r="U222" s="598"/>
      <c r="V222" s="463"/>
      <c r="W222" s="593"/>
      <c r="X222" s="594" t="str">
        <f t="shared" si="11"/>
        <v/>
      </c>
      <c r="Y222" s="595"/>
      <c r="Z222" s="623"/>
      <c r="AA222" s="624"/>
    </row>
    <row r="223" spans="2:27" ht="17.25" customHeight="1" thickTop="1" thickBot="1" x14ac:dyDescent="0.2">
      <c r="B223" s="615"/>
      <c r="C223" s="616"/>
      <c r="D223" s="617"/>
      <c r="E223" s="24"/>
      <c r="F223" s="547" t="str">
        <f>IF($B219="","　　年　月",DATE(YEAR($I$27),MONTH($I$27)+4,DAY($I$27)))</f>
        <v>　　年　月</v>
      </c>
      <c r="G223" s="548"/>
      <c r="H223" s="549"/>
      <c r="I223" s="596"/>
      <c r="J223" s="597"/>
      <c r="K223" s="598"/>
      <c r="L223" s="463"/>
      <c r="M223" s="593"/>
      <c r="N223" s="594" t="str">
        <f t="shared" si="12"/>
        <v/>
      </c>
      <c r="O223" s="595"/>
      <c r="P223" s="548" t="str">
        <f>IF($B219="","　　年　月",DATE(YEAR($I$27),MONTH($I$27)+10,DAY($I$27)))</f>
        <v>　　年　月</v>
      </c>
      <c r="Q223" s="548"/>
      <c r="R223" s="549"/>
      <c r="S223" s="596"/>
      <c r="T223" s="597"/>
      <c r="U223" s="598"/>
      <c r="V223" s="463"/>
      <c r="W223" s="593"/>
      <c r="X223" s="594" t="str">
        <f t="shared" si="11"/>
        <v/>
      </c>
      <c r="Y223" s="595"/>
      <c r="Z223" s="623"/>
      <c r="AA223" s="624"/>
    </row>
    <row r="224" spans="2:27" ht="17.25" customHeight="1" thickTop="1" thickBot="1" x14ac:dyDescent="0.2">
      <c r="B224" s="618"/>
      <c r="C224" s="619"/>
      <c r="D224" s="620"/>
      <c r="E224" s="24"/>
      <c r="F224" s="547" t="str">
        <f>IF($B219="","　　年　月",DATE(YEAR($I$27),MONTH($I$27)+5,DAY($I$27)))</f>
        <v>　　年　月</v>
      </c>
      <c r="G224" s="548"/>
      <c r="H224" s="549"/>
      <c r="I224" s="596"/>
      <c r="J224" s="597"/>
      <c r="K224" s="598"/>
      <c r="L224" s="463"/>
      <c r="M224" s="593"/>
      <c r="N224" s="627" t="str">
        <f>IF($B$219="","",I224/L224)</f>
        <v/>
      </c>
      <c r="O224" s="628"/>
      <c r="P224" s="548" t="str">
        <f>IF($B219="","　　年　月",DATE(YEAR($I$27),MONTH($I$27)+11,DAY($I$27)))</f>
        <v>　　年　月</v>
      </c>
      <c r="Q224" s="548"/>
      <c r="R224" s="549"/>
      <c r="S224" s="596"/>
      <c r="T224" s="597"/>
      <c r="U224" s="598"/>
      <c r="V224" s="463"/>
      <c r="W224" s="593"/>
      <c r="X224" s="627" t="str">
        <f>IF($B$219="","",S224/V224)</f>
        <v/>
      </c>
      <c r="Y224" s="628"/>
      <c r="Z224" s="623"/>
      <c r="AA224" s="624"/>
    </row>
    <row r="225" spans="2:27" ht="17.25" customHeight="1" thickTop="1" thickBot="1" x14ac:dyDescent="0.2">
      <c r="B225" s="612"/>
      <c r="C225" s="613"/>
      <c r="D225" s="614"/>
      <c r="E225" s="24"/>
      <c r="F225" s="547" t="str">
        <f>IF($B225="","　　年　月",DATE(YEAR($I$27),MONTH($I$27),DAY($I$27)))</f>
        <v>　　年　月</v>
      </c>
      <c r="G225" s="548"/>
      <c r="H225" s="549"/>
      <c r="I225" s="596"/>
      <c r="J225" s="597"/>
      <c r="K225" s="598"/>
      <c r="L225" s="463"/>
      <c r="M225" s="593"/>
      <c r="N225" s="625" t="str">
        <f>IF($B$225="","",I225/L225)</f>
        <v/>
      </c>
      <c r="O225" s="626"/>
      <c r="P225" s="548" t="str">
        <f>IF($B225="","　　年　月",DATE(YEAR($I$27),MONTH($I$27)+6,DAY($I$27)))</f>
        <v>　　年　月</v>
      </c>
      <c r="Q225" s="548"/>
      <c r="R225" s="549"/>
      <c r="S225" s="596"/>
      <c r="T225" s="597"/>
      <c r="U225" s="598"/>
      <c r="V225" s="463"/>
      <c r="W225" s="593"/>
      <c r="X225" s="625" t="str">
        <f>IF($B$225="","",S225/V225)</f>
        <v/>
      </c>
      <c r="Y225" s="626"/>
      <c r="Z225" s="623" t="str">
        <f>IF(B225="","",IF(COUNTIF(N225:O230,"&gt;=45")+COUNTIF(X225:Y230,"&gt;=45")&gt;0,"Ａ≧45　あり","全月　　Ａ＜45"))</f>
        <v/>
      </c>
      <c r="AA225" s="624"/>
    </row>
    <row r="226" spans="2:27" ht="17.25" customHeight="1" thickTop="1" thickBot="1" x14ac:dyDescent="0.2">
      <c r="B226" s="615"/>
      <c r="C226" s="616"/>
      <c r="D226" s="617"/>
      <c r="E226" s="24"/>
      <c r="F226" s="547" t="str">
        <f>IF($B225="","　　年　月",DATE(YEAR($I$27),MONTH($I$27)+1,DAY($I$27)))</f>
        <v>　　年　月</v>
      </c>
      <c r="G226" s="548"/>
      <c r="H226" s="549"/>
      <c r="I226" s="596"/>
      <c r="J226" s="597"/>
      <c r="K226" s="598"/>
      <c r="L226" s="463"/>
      <c r="M226" s="593"/>
      <c r="N226" s="594" t="str">
        <f t="shared" ref="N226:N229" si="13">IF($B$225="","",I226/L226)</f>
        <v/>
      </c>
      <c r="O226" s="595"/>
      <c r="P226" s="548" t="str">
        <f>IF($B225="","　　年　月",DATE(YEAR($I$27),MONTH($I$27)+7,DAY($I$27)))</f>
        <v>　　年　月</v>
      </c>
      <c r="Q226" s="548"/>
      <c r="R226" s="549"/>
      <c r="S226" s="596"/>
      <c r="T226" s="597"/>
      <c r="U226" s="598"/>
      <c r="V226" s="463"/>
      <c r="W226" s="593"/>
      <c r="X226" s="594" t="str">
        <f t="shared" ref="X226:X230" si="14">IF($B$225="","",S226/V226)</f>
        <v/>
      </c>
      <c r="Y226" s="595"/>
      <c r="Z226" s="623"/>
      <c r="AA226" s="624"/>
    </row>
    <row r="227" spans="2:27" ht="17.25" customHeight="1" thickTop="1" thickBot="1" x14ac:dyDescent="0.2">
      <c r="B227" s="615"/>
      <c r="C227" s="616"/>
      <c r="D227" s="617"/>
      <c r="E227" s="24"/>
      <c r="F227" s="547" t="str">
        <f>IF($B225="","　　年　月",DATE(YEAR($I$27),MONTH($I$27)+2,DAY($I$27)))</f>
        <v>　　年　月</v>
      </c>
      <c r="G227" s="548"/>
      <c r="H227" s="549"/>
      <c r="I227" s="596"/>
      <c r="J227" s="597"/>
      <c r="K227" s="598"/>
      <c r="L227" s="463"/>
      <c r="M227" s="593"/>
      <c r="N227" s="594" t="str">
        <f t="shared" si="13"/>
        <v/>
      </c>
      <c r="O227" s="595"/>
      <c r="P227" s="548" t="str">
        <f>IF($B225="","　　年　月",DATE(YEAR($I$27),MONTH($I$27)+8,DAY($I$27)))</f>
        <v>　　年　月</v>
      </c>
      <c r="Q227" s="548"/>
      <c r="R227" s="549"/>
      <c r="S227" s="596"/>
      <c r="T227" s="597"/>
      <c r="U227" s="598"/>
      <c r="V227" s="463"/>
      <c r="W227" s="593"/>
      <c r="X227" s="594" t="str">
        <f t="shared" si="14"/>
        <v/>
      </c>
      <c r="Y227" s="595"/>
      <c r="Z227" s="623"/>
      <c r="AA227" s="624"/>
    </row>
    <row r="228" spans="2:27" ht="17.25" customHeight="1" thickTop="1" thickBot="1" x14ac:dyDescent="0.2">
      <c r="B228" s="615"/>
      <c r="C228" s="616"/>
      <c r="D228" s="617"/>
      <c r="E228" s="24"/>
      <c r="F228" s="547" t="str">
        <f>IF($B225="","　　年　月",DATE(YEAR($I$27),MONTH($I$27)+3,DAY($I$27)))</f>
        <v>　　年　月</v>
      </c>
      <c r="G228" s="548"/>
      <c r="H228" s="549"/>
      <c r="I228" s="596"/>
      <c r="J228" s="597"/>
      <c r="K228" s="598"/>
      <c r="L228" s="463"/>
      <c r="M228" s="593"/>
      <c r="N228" s="594" t="str">
        <f t="shared" si="13"/>
        <v/>
      </c>
      <c r="O228" s="595"/>
      <c r="P228" s="548" t="str">
        <f>IF($B225="","　　年　月",DATE(YEAR($I$27),MONTH($I$27)+9,DAY($I$27)))</f>
        <v>　　年　月</v>
      </c>
      <c r="Q228" s="548"/>
      <c r="R228" s="549"/>
      <c r="S228" s="596"/>
      <c r="T228" s="597"/>
      <c r="U228" s="598"/>
      <c r="V228" s="463"/>
      <c r="W228" s="593"/>
      <c r="X228" s="594" t="str">
        <f t="shared" si="14"/>
        <v/>
      </c>
      <c r="Y228" s="595"/>
      <c r="Z228" s="623"/>
      <c r="AA228" s="624"/>
    </row>
    <row r="229" spans="2:27" ht="17.25" customHeight="1" thickTop="1" thickBot="1" x14ac:dyDescent="0.2">
      <c r="B229" s="615"/>
      <c r="C229" s="616"/>
      <c r="D229" s="617"/>
      <c r="E229" s="24"/>
      <c r="F229" s="547" t="str">
        <f>IF($B225="","　　年　月",DATE(YEAR($I$27),MONTH($I$27)+4,DAY($I$27)))</f>
        <v>　　年　月</v>
      </c>
      <c r="G229" s="548"/>
      <c r="H229" s="549"/>
      <c r="I229" s="596"/>
      <c r="J229" s="597"/>
      <c r="K229" s="598"/>
      <c r="L229" s="463"/>
      <c r="M229" s="593"/>
      <c r="N229" s="594" t="str">
        <f t="shared" si="13"/>
        <v/>
      </c>
      <c r="O229" s="595"/>
      <c r="P229" s="548" t="str">
        <f>IF($B225="","　　年　月",DATE(YEAR($I$27),MONTH($I$27)+10,DAY($I$27)))</f>
        <v>　　年　月</v>
      </c>
      <c r="Q229" s="548"/>
      <c r="R229" s="549"/>
      <c r="S229" s="596"/>
      <c r="T229" s="597"/>
      <c r="U229" s="598"/>
      <c r="V229" s="463"/>
      <c r="W229" s="593"/>
      <c r="X229" s="594" t="str">
        <f t="shared" si="14"/>
        <v/>
      </c>
      <c r="Y229" s="595"/>
      <c r="Z229" s="623"/>
      <c r="AA229" s="624"/>
    </row>
    <row r="230" spans="2:27" ht="17.25" customHeight="1" thickTop="1" thickBot="1" x14ac:dyDescent="0.2">
      <c r="B230" s="618"/>
      <c r="C230" s="619"/>
      <c r="D230" s="620"/>
      <c r="E230" s="24"/>
      <c r="F230" s="547" t="str">
        <f>IF($B225="","　　年　月",DATE(YEAR($I$27),MONTH($I$27)+5,DAY($I$27)))</f>
        <v>　　年　月</v>
      </c>
      <c r="G230" s="548"/>
      <c r="H230" s="549"/>
      <c r="I230" s="596"/>
      <c r="J230" s="597"/>
      <c r="K230" s="598"/>
      <c r="L230" s="463"/>
      <c r="M230" s="593"/>
      <c r="N230" s="583" t="str">
        <f>IF($B$225="","",I230/L230)</f>
        <v/>
      </c>
      <c r="O230" s="584"/>
      <c r="P230" s="548" t="str">
        <f>IF($B225="","　　年　月",DATE(YEAR($I$27),MONTH($I$27)+11,DAY($I$27)))</f>
        <v>　　年　月</v>
      </c>
      <c r="Q230" s="548"/>
      <c r="R230" s="549"/>
      <c r="S230" s="596"/>
      <c r="T230" s="597"/>
      <c r="U230" s="598"/>
      <c r="V230" s="463"/>
      <c r="W230" s="593"/>
      <c r="X230" s="583" t="str">
        <f t="shared" si="14"/>
        <v/>
      </c>
      <c r="Y230" s="584"/>
      <c r="Z230" s="623"/>
      <c r="AA230" s="624"/>
    </row>
    <row r="231" spans="2:27" ht="17.25" customHeight="1" thickTop="1" thickBot="1" x14ac:dyDescent="0.2">
      <c r="B231" s="612"/>
      <c r="C231" s="613"/>
      <c r="D231" s="614"/>
      <c r="E231" s="24"/>
      <c r="F231" s="547" t="str">
        <f>IF($B231="","　　年　月",DATE(YEAR($I$27),MONTH($I$27),DAY($I$27)))</f>
        <v>　　年　月</v>
      </c>
      <c r="G231" s="548"/>
      <c r="H231" s="549"/>
      <c r="I231" s="596"/>
      <c r="J231" s="597"/>
      <c r="K231" s="598"/>
      <c r="L231" s="463"/>
      <c r="M231" s="593"/>
      <c r="N231" s="621" t="str">
        <f>IF($B$231="","",I231/L231)</f>
        <v/>
      </c>
      <c r="O231" s="622"/>
      <c r="P231" s="548" t="str">
        <f>IF($B231="","　　年　月",DATE(YEAR($I$27),MONTH($I$27)+6,DAY($I$27)))</f>
        <v>　　年　月</v>
      </c>
      <c r="Q231" s="548"/>
      <c r="R231" s="549"/>
      <c r="S231" s="596"/>
      <c r="T231" s="597"/>
      <c r="U231" s="598"/>
      <c r="V231" s="463"/>
      <c r="W231" s="593"/>
      <c r="X231" s="621" t="str">
        <f>IF($B$231="","",S231/V231)</f>
        <v/>
      </c>
      <c r="Y231" s="622"/>
      <c r="Z231" s="623" t="str">
        <f>IF(B231="","",IF(COUNTIF(N231:O236,"&gt;=45")+COUNTIF(X231:Y236,"&gt;=45")&gt;0,"Ａ≧45　あり","全月　　Ａ＜45"))</f>
        <v/>
      </c>
      <c r="AA231" s="624"/>
    </row>
    <row r="232" spans="2:27" ht="17.25" customHeight="1" thickTop="1" thickBot="1" x14ac:dyDescent="0.2">
      <c r="B232" s="615"/>
      <c r="C232" s="616"/>
      <c r="D232" s="617"/>
      <c r="E232" s="24"/>
      <c r="F232" s="547" t="str">
        <f>IF($B231="","　　年　月",DATE(YEAR($I$27),MONTH($I$27)+1,DAY($I$27)))</f>
        <v>　　年　月</v>
      </c>
      <c r="G232" s="548"/>
      <c r="H232" s="549"/>
      <c r="I232" s="596"/>
      <c r="J232" s="597"/>
      <c r="K232" s="598"/>
      <c r="L232" s="463"/>
      <c r="M232" s="593"/>
      <c r="N232" s="594" t="str">
        <f t="shared" ref="N232:N235" si="15">IF($B$231="","",I232/L232)</f>
        <v/>
      </c>
      <c r="O232" s="595"/>
      <c r="P232" s="548" t="str">
        <f>IF($B231="","　　年　月",DATE(YEAR($I$27),MONTH($I$27)+7,DAY($I$27)))</f>
        <v>　　年　月</v>
      </c>
      <c r="Q232" s="548"/>
      <c r="R232" s="549"/>
      <c r="S232" s="596"/>
      <c r="T232" s="597"/>
      <c r="U232" s="598"/>
      <c r="V232" s="463"/>
      <c r="W232" s="593"/>
      <c r="X232" s="594" t="str">
        <f t="shared" ref="X232:X235" si="16">IF($B$231="","",S232/V232)</f>
        <v/>
      </c>
      <c r="Y232" s="595"/>
      <c r="Z232" s="623"/>
      <c r="AA232" s="624"/>
    </row>
    <row r="233" spans="2:27" ht="17.25" customHeight="1" thickTop="1" thickBot="1" x14ac:dyDescent="0.2">
      <c r="B233" s="615"/>
      <c r="C233" s="616"/>
      <c r="D233" s="617"/>
      <c r="E233" s="24"/>
      <c r="F233" s="547" t="str">
        <f>IF($B231="","　　年　月",DATE(YEAR($I$27),MONTH($I$27)+2,DAY($I$27)))</f>
        <v>　　年　月</v>
      </c>
      <c r="G233" s="548"/>
      <c r="H233" s="549"/>
      <c r="I233" s="596"/>
      <c r="J233" s="597"/>
      <c r="K233" s="598"/>
      <c r="L233" s="463"/>
      <c r="M233" s="593"/>
      <c r="N233" s="594" t="str">
        <f t="shared" si="15"/>
        <v/>
      </c>
      <c r="O233" s="595"/>
      <c r="P233" s="548" t="str">
        <f>IF($B231="","　　年　月",DATE(YEAR($I$27),MONTH($I$27)+8,DAY($I$27)))</f>
        <v>　　年　月</v>
      </c>
      <c r="Q233" s="548"/>
      <c r="R233" s="549"/>
      <c r="S233" s="596"/>
      <c r="T233" s="597"/>
      <c r="U233" s="598"/>
      <c r="V233" s="463"/>
      <c r="W233" s="593"/>
      <c r="X233" s="594" t="str">
        <f t="shared" si="16"/>
        <v/>
      </c>
      <c r="Y233" s="595"/>
      <c r="Z233" s="623"/>
      <c r="AA233" s="624"/>
    </row>
    <row r="234" spans="2:27" ht="17.25" customHeight="1" thickTop="1" thickBot="1" x14ac:dyDescent="0.2">
      <c r="B234" s="615"/>
      <c r="C234" s="616"/>
      <c r="D234" s="617"/>
      <c r="E234" s="24"/>
      <c r="F234" s="547" t="str">
        <f>IF($B231="","　　年　月",DATE(YEAR($I$27),MONTH($I$27)+3,DAY($I$27)))</f>
        <v>　　年　月</v>
      </c>
      <c r="G234" s="548"/>
      <c r="H234" s="549"/>
      <c r="I234" s="596"/>
      <c r="J234" s="597"/>
      <c r="K234" s="598"/>
      <c r="L234" s="463"/>
      <c r="M234" s="593"/>
      <c r="N234" s="594" t="str">
        <f t="shared" si="15"/>
        <v/>
      </c>
      <c r="O234" s="595"/>
      <c r="P234" s="548" t="str">
        <f>IF($B231="","　　年　月",DATE(YEAR($I$27),MONTH($I$27)+9,DAY($I$27)))</f>
        <v>　　年　月</v>
      </c>
      <c r="Q234" s="548"/>
      <c r="R234" s="549"/>
      <c r="S234" s="596"/>
      <c r="T234" s="597"/>
      <c r="U234" s="598"/>
      <c r="V234" s="463"/>
      <c r="W234" s="593"/>
      <c r="X234" s="594" t="str">
        <f t="shared" si="16"/>
        <v/>
      </c>
      <c r="Y234" s="595"/>
      <c r="Z234" s="623"/>
      <c r="AA234" s="624"/>
    </row>
    <row r="235" spans="2:27" ht="17.25" customHeight="1" thickTop="1" thickBot="1" x14ac:dyDescent="0.2">
      <c r="B235" s="615"/>
      <c r="C235" s="616"/>
      <c r="D235" s="617"/>
      <c r="E235" s="24"/>
      <c r="F235" s="547" t="str">
        <f>IF($B231="","　　年　月",DATE(YEAR($I$27),MONTH($I$27)+4,DAY($I$27)))</f>
        <v>　　年　月</v>
      </c>
      <c r="G235" s="548"/>
      <c r="H235" s="549"/>
      <c r="I235" s="596"/>
      <c r="J235" s="597"/>
      <c r="K235" s="598"/>
      <c r="L235" s="463"/>
      <c r="M235" s="593"/>
      <c r="N235" s="594" t="str">
        <f t="shared" si="15"/>
        <v/>
      </c>
      <c r="O235" s="595"/>
      <c r="P235" s="548" t="str">
        <f>IF($B231="","　　年　月",DATE(YEAR($I$27),MONTH($I$27)+10,DAY($I$27)))</f>
        <v>　　年　月</v>
      </c>
      <c r="Q235" s="548"/>
      <c r="R235" s="549"/>
      <c r="S235" s="596"/>
      <c r="T235" s="597"/>
      <c r="U235" s="598"/>
      <c r="V235" s="463"/>
      <c r="W235" s="593"/>
      <c r="X235" s="594" t="str">
        <f t="shared" si="16"/>
        <v/>
      </c>
      <c r="Y235" s="595"/>
      <c r="Z235" s="623"/>
      <c r="AA235" s="624"/>
    </row>
    <row r="236" spans="2:27" ht="17.25" customHeight="1" thickTop="1" thickBot="1" x14ac:dyDescent="0.2">
      <c r="B236" s="618"/>
      <c r="C236" s="619"/>
      <c r="D236" s="620"/>
      <c r="E236" s="24"/>
      <c r="F236" s="547" t="str">
        <f>IF($B231="","　　年　月",DATE(YEAR($I$27),MONTH($I$27)+5,DAY($I$27)))</f>
        <v>　　年　月</v>
      </c>
      <c r="G236" s="548"/>
      <c r="H236" s="549"/>
      <c r="I236" s="607"/>
      <c r="J236" s="608"/>
      <c r="K236" s="609"/>
      <c r="L236" s="610"/>
      <c r="M236" s="611"/>
      <c r="N236" s="583" t="str">
        <f>IF($B$231="","",I236/L236)</f>
        <v/>
      </c>
      <c r="O236" s="584"/>
      <c r="P236" s="548" t="str">
        <f>IF($B231="","　　年　月",DATE(YEAR($I$27),MONTH($I$27)+11,DAY($I$27)))</f>
        <v>　　年　月</v>
      </c>
      <c r="Q236" s="548"/>
      <c r="R236" s="549"/>
      <c r="S236" s="607"/>
      <c r="T236" s="608"/>
      <c r="U236" s="609"/>
      <c r="V236" s="610"/>
      <c r="W236" s="611"/>
      <c r="X236" s="583" t="str">
        <f>IF($B$231="","",S236/V236)</f>
        <v/>
      </c>
      <c r="Y236" s="584"/>
      <c r="Z236" s="589"/>
      <c r="AA236" s="590"/>
    </row>
    <row r="237" spans="2:27" ht="27.75" customHeight="1" thickTop="1" thickBot="1" x14ac:dyDescent="0.2">
      <c r="F237" s="556" t="s">
        <v>188</v>
      </c>
      <c r="G237" s="557"/>
      <c r="H237" s="557"/>
      <c r="I237" s="557"/>
      <c r="J237" s="557"/>
      <c r="K237" s="557"/>
      <c r="L237" s="557"/>
      <c r="M237" s="557"/>
      <c r="N237" s="557"/>
      <c r="O237" s="557"/>
      <c r="P237" s="557"/>
      <c r="Q237" s="557"/>
      <c r="R237" s="557"/>
      <c r="S237" s="557"/>
      <c r="T237" s="557"/>
      <c r="U237" s="557"/>
      <c r="V237" s="557"/>
      <c r="W237" s="558"/>
      <c r="X237" s="603"/>
      <c r="Y237" s="604"/>
      <c r="Z237" s="604"/>
      <c r="AA237" s="605"/>
    </row>
    <row r="238" spans="2:27" ht="17.25" customHeight="1" thickTop="1" x14ac:dyDescent="0.15">
      <c r="AA238" s="35" t="str">
        <f>IF(G23="","",IF(X237="","リストから選択↑　",""))</f>
        <v/>
      </c>
    </row>
    <row r="239" spans="2:27" ht="16.5" customHeight="1" x14ac:dyDescent="0.15">
      <c r="B239" s="606" t="s">
        <v>67</v>
      </c>
      <c r="C239" s="606"/>
      <c r="D239" s="606"/>
      <c r="E239" s="606"/>
      <c r="F239" s="606"/>
      <c r="G239" s="606"/>
      <c r="H239" s="606"/>
      <c r="I239" s="606"/>
      <c r="J239" s="606"/>
      <c r="K239" s="606"/>
      <c r="L239" s="606"/>
      <c r="M239" s="606"/>
      <c r="N239" s="606"/>
      <c r="O239" s="606"/>
      <c r="P239" s="606"/>
      <c r="Q239" s="606"/>
      <c r="R239" s="606"/>
      <c r="S239" s="606"/>
      <c r="T239" s="606"/>
      <c r="U239" s="606"/>
      <c r="V239" s="606"/>
      <c r="W239" s="606"/>
      <c r="X239" s="606"/>
      <c r="Y239" s="606"/>
      <c r="Z239" s="606"/>
      <c r="AA239" s="606"/>
    </row>
    <row r="240" spans="2:27" ht="17.25" customHeight="1" x14ac:dyDescent="0.15"/>
    <row r="241" spans="2:27" ht="17.25" customHeight="1" x14ac:dyDescent="0.15">
      <c r="B241" s="1" t="s">
        <v>159</v>
      </c>
      <c r="AA241" s="169" t="str">
        <f>IF(G$23="","",G$23)</f>
        <v/>
      </c>
    </row>
    <row r="242" spans="2:27" ht="17.25" customHeight="1" x14ac:dyDescent="0.15"/>
    <row r="243" spans="2:27" ht="17.25" customHeight="1" x14ac:dyDescent="0.15">
      <c r="B243" s="11" t="s">
        <v>23</v>
      </c>
      <c r="Q243" s="14"/>
    </row>
    <row r="244" spans="2:27" ht="17.25" customHeight="1" thickBot="1" x14ac:dyDescent="0.2">
      <c r="C244" s="9" t="s">
        <v>72</v>
      </c>
    </row>
    <row r="245" spans="2:27" s="9" customFormat="1" ht="54" customHeight="1" thickTop="1" thickBot="1" x14ac:dyDescent="0.2">
      <c r="B245" s="366" t="s">
        <v>0</v>
      </c>
      <c r="C245" s="367"/>
      <c r="D245" s="368"/>
      <c r="E245" s="71"/>
      <c r="F245" s="366" t="s">
        <v>19</v>
      </c>
      <c r="G245" s="367"/>
      <c r="H245" s="368"/>
      <c r="I245" s="410" t="s">
        <v>21</v>
      </c>
      <c r="J245" s="410"/>
      <c r="K245" s="411"/>
      <c r="L245" s="409" t="s">
        <v>20</v>
      </c>
      <c r="M245" s="367"/>
      <c r="N245" s="601" t="s">
        <v>45</v>
      </c>
      <c r="O245" s="602"/>
      <c r="P245" s="367" t="s">
        <v>19</v>
      </c>
      <c r="Q245" s="367"/>
      <c r="R245" s="368"/>
      <c r="S245" s="410" t="s">
        <v>21</v>
      </c>
      <c r="T245" s="410"/>
      <c r="U245" s="411"/>
      <c r="V245" s="409" t="s">
        <v>20</v>
      </c>
      <c r="W245" s="367"/>
      <c r="X245" s="601" t="s">
        <v>45</v>
      </c>
      <c r="Y245" s="602"/>
      <c r="Z245" s="478" t="s">
        <v>198</v>
      </c>
      <c r="AA245" s="480"/>
    </row>
    <row r="246" spans="2:27" ht="17.25" customHeight="1" thickTop="1" x14ac:dyDescent="0.15">
      <c r="B246" s="553"/>
      <c r="C246" s="554"/>
      <c r="D246" s="555"/>
      <c r="E246" s="23"/>
      <c r="F246" s="547" t="str">
        <f>IF($B246="","　　年　月",DATE(YEAR($I$27),MONTH($I$27),DAY($I$27)))</f>
        <v>　　年　月</v>
      </c>
      <c r="G246" s="548"/>
      <c r="H246" s="549"/>
      <c r="I246" s="577"/>
      <c r="J246" s="577"/>
      <c r="K246" s="578"/>
      <c r="L246" s="318"/>
      <c r="M246" s="550"/>
      <c r="N246" s="585" t="str">
        <f t="shared" ref="N246:N251" si="17">IF($B$246="","",(I246-40*DAY(EOMONTH(DATE(YEAR($X$27),MONTH($X$27),DAY($X$27)),0))/7*L246)/L246)</f>
        <v/>
      </c>
      <c r="O246" s="586"/>
      <c r="P246" s="548" t="str">
        <f>IF($B246="","　　年　月",DATE(YEAR($I$27),MONTH($I$27)+6,DAY($I$27)))</f>
        <v>　　年　月</v>
      </c>
      <c r="Q246" s="548"/>
      <c r="R246" s="549"/>
      <c r="S246" s="577"/>
      <c r="T246" s="577"/>
      <c r="U246" s="578"/>
      <c r="V246" s="318"/>
      <c r="W246" s="550"/>
      <c r="X246" s="585" t="str">
        <f t="shared" ref="X246:X251" si="18">IF($B$246="","",(S246-40*DAY(EOMONTH(DATE(YEAR($X$27),MONTH($X$27)+6,DAY($X$27)),0))/7*V246)/V246)</f>
        <v/>
      </c>
      <c r="Y246" s="586"/>
      <c r="Z246" s="599" t="str">
        <f>IF(B246="","",IF(COUNTIF(N246:O251,"&gt;=45")+COUNTIF(X246:Y251,"&gt;=45")&gt;0,"A'≧45　あり","全月　　A'＜45"))</f>
        <v/>
      </c>
      <c r="AA246" s="600"/>
    </row>
    <row r="247" spans="2:27" ht="17.25" customHeight="1" x14ac:dyDescent="0.15">
      <c r="B247" s="564"/>
      <c r="C247" s="349"/>
      <c r="D247" s="565"/>
      <c r="E247" s="23"/>
      <c r="F247" s="547" t="str">
        <f>IF($B246="","　　年　月",DATE(YEAR($I$27),MONTH($I$27)+1,DAY($I$27)))</f>
        <v>　　年　月</v>
      </c>
      <c r="G247" s="548"/>
      <c r="H247" s="549"/>
      <c r="I247" s="551"/>
      <c r="J247" s="551"/>
      <c r="K247" s="552"/>
      <c r="L247" s="318"/>
      <c r="M247" s="550"/>
      <c r="N247" s="545" t="str">
        <f t="shared" si="17"/>
        <v/>
      </c>
      <c r="O247" s="546"/>
      <c r="P247" s="548" t="str">
        <f>IF($B246="","　　年　月",DATE(YEAR($I$27),MONTH($I$27)+7,DAY($I$27)))</f>
        <v>　　年　月</v>
      </c>
      <c r="Q247" s="548"/>
      <c r="R247" s="549"/>
      <c r="S247" s="551"/>
      <c r="T247" s="551"/>
      <c r="U247" s="552"/>
      <c r="V247" s="318"/>
      <c r="W247" s="550"/>
      <c r="X247" s="545" t="str">
        <f t="shared" si="18"/>
        <v/>
      </c>
      <c r="Y247" s="546"/>
      <c r="Z247" s="575"/>
      <c r="AA247" s="576"/>
    </row>
    <row r="248" spans="2:27" ht="17.25" customHeight="1" x14ac:dyDescent="0.15">
      <c r="B248" s="564"/>
      <c r="C248" s="349"/>
      <c r="D248" s="565"/>
      <c r="E248" s="23"/>
      <c r="F248" s="547" t="str">
        <f>IF($B246="","　　年　月",DATE(YEAR($I$27),MONTH($I$27)+2,DAY($I$27)))</f>
        <v>　　年　月</v>
      </c>
      <c r="G248" s="548"/>
      <c r="H248" s="549"/>
      <c r="I248" s="551"/>
      <c r="J248" s="551"/>
      <c r="K248" s="552"/>
      <c r="L248" s="318"/>
      <c r="M248" s="550"/>
      <c r="N248" s="545" t="str">
        <f t="shared" si="17"/>
        <v/>
      </c>
      <c r="O248" s="546"/>
      <c r="P248" s="548" t="str">
        <f>IF($B246="","　　年　月",DATE(YEAR($I$27),MONTH($I$27)+8,DAY($I$27)))</f>
        <v>　　年　月</v>
      </c>
      <c r="Q248" s="548"/>
      <c r="R248" s="549"/>
      <c r="S248" s="551"/>
      <c r="T248" s="551"/>
      <c r="U248" s="552"/>
      <c r="V248" s="318"/>
      <c r="W248" s="550"/>
      <c r="X248" s="545" t="str">
        <f t="shared" si="18"/>
        <v/>
      </c>
      <c r="Y248" s="546"/>
      <c r="Z248" s="575"/>
      <c r="AA248" s="576"/>
    </row>
    <row r="249" spans="2:27" ht="17.25" customHeight="1" x14ac:dyDescent="0.15">
      <c r="B249" s="564"/>
      <c r="C249" s="349"/>
      <c r="D249" s="565"/>
      <c r="E249" s="23"/>
      <c r="F249" s="547" t="str">
        <f>IF($B246="","　　年　月",DATE(YEAR($I$27),MONTH($I$27)+3,DAY($I$27)))</f>
        <v>　　年　月</v>
      </c>
      <c r="G249" s="548"/>
      <c r="H249" s="549"/>
      <c r="I249" s="551"/>
      <c r="J249" s="551"/>
      <c r="K249" s="552"/>
      <c r="L249" s="318"/>
      <c r="M249" s="550"/>
      <c r="N249" s="545" t="str">
        <f t="shared" si="17"/>
        <v/>
      </c>
      <c r="O249" s="546"/>
      <c r="P249" s="548" t="str">
        <f>IF($B246="","　　年　月",DATE(YEAR($I$27),MONTH($I$27)+9,DAY($I$27)))</f>
        <v>　　年　月</v>
      </c>
      <c r="Q249" s="548"/>
      <c r="R249" s="549"/>
      <c r="S249" s="551"/>
      <c r="T249" s="551"/>
      <c r="U249" s="552"/>
      <c r="V249" s="318"/>
      <c r="W249" s="550"/>
      <c r="X249" s="545" t="str">
        <f t="shared" si="18"/>
        <v/>
      </c>
      <c r="Y249" s="546"/>
      <c r="Z249" s="575"/>
      <c r="AA249" s="576"/>
    </row>
    <row r="250" spans="2:27" ht="17.25" customHeight="1" x14ac:dyDescent="0.15">
      <c r="B250" s="564"/>
      <c r="C250" s="349"/>
      <c r="D250" s="565"/>
      <c r="E250" s="23"/>
      <c r="F250" s="547" t="str">
        <f>IF($B246="","　　年　月",DATE(YEAR($I$27),MONTH($I$27)+4,DAY($I$27)))</f>
        <v>　　年　月</v>
      </c>
      <c r="G250" s="548"/>
      <c r="H250" s="549"/>
      <c r="I250" s="551"/>
      <c r="J250" s="551"/>
      <c r="K250" s="552"/>
      <c r="L250" s="318"/>
      <c r="M250" s="550"/>
      <c r="N250" s="545" t="str">
        <f t="shared" si="17"/>
        <v/>
      </c>
      <c r="O250" s="546"/>
      <c r="P250" s="548" t="str">
        <f>IF($B246="","　　年　月",DATE(YEAR($I$27),MONTH($I$27)+10,DAY($I$27)))</f>
        <v>　　年　月</v>
      </c>
      <c r="Q250" s="548"/>
      <c r="R250" s="549"/>
      <c r="S250" s="551"/>
      <c r="T250" s="551"/>
      <c r="U250" s="552"/>
      <c r="V250" s="318"/>
      <c r="W250" s="550"/>
      <c r="X250" s="545" t="str">
        <f t="shared" si="18"/>
        <v/>
      </c>
      <c r="Y250" s="546"/>
      <c r="Z250" s="575"/>
      <c r="AA250" s="576"/>
    </row>
    <row r="251" spans="2:27" ht="17.25" customHeight="1" thickBot="1" x14ac:dyDescent="0.2">
      <c r="B251" s="566"/>
      <c r="C251" s="567"/>
      <c r="D251" s="568"/>
      <c r="E251" s="23"/>
      <c r="F251" s="547" t="str">
        <f>IF($B246="","　　年　月",DATE(YEAR($I$27),MONTH($I$27)+5,DAY($I$27)))</f>
        <v>　　年　月</v>
      </c>
      <c r="G251" s="548"/>
      <c r="H251" s="549"/>
      <c r="I251" s="551"/>
      <c r="J251" s="551"/>
      <c r="K251" s="552"/>
      <c r="L251" s="318"/>
      <c r="M251" s="550"/>
      <c r="N251" s="581" t="str">
        <f t="shared" si="17"/>
        <v/>
      </c>
      <c r="O251" s="582"/>
      <c r="P251" s="548" t="str">
        <f>IF($B246="","　　年　月",DATE(YEAR($I$27),MONTH($I$27)+11,DAY($I$27)))</f>
        <v>　　年　月</v>
      </c>
      <c r="Q251" s="548"/>
      <c r="R251" s="549"/>
      <c r="S251" s="551"/>
      <c r="T251" s="551"/>
      <c r="U251" s="552"/>
      <c r="V251" s="318"/>
      <c r="W251" s="550"/>
      <c r="X251" s="587" t="str">
        <f t="shared" si="18"/>
        <v/>
      </c>
      <c r="Y251" s="588"/>
      <c r="Z251" s="575"/>
      <c r="AA251" s="576"/>
    </row>
    <row r="252" spans="2:27" ht="17.25" customHeight="1" thickTop="1" x14ac:dyDescent="0.15">
      <c r="B252" s="564"/>
      <c r="C252" s="349"/>
      <c r="D252" s="565"/>
      <c r="E252" s="23"/>
      <c r="F252" s="547" t="str">
        <f>IF($B252="","　　年　月",DATE(YEAR($I$27),MONTH($I$27),DAY($I$27)))</f>
        <v>　　年　月</v>
      </c>
      <c r="G252" s="548"/>
      <c r="H252" s="549"/>
      <c r="I252" s="569"/>
      <c r="J252" s="569"/>
      <c r="K252" s="570"/>
      <c r="L252" s="571"/>
      <c r="M252" s="572"/>
      <c r="N252" s="585" t="str">
        <f t="shared" ref="N252:N257" si="19">IF($B$252="","",(I252-40*DAY(EOMONTH(DATE(YEAR($X$27),MONTH($X$27),DAY($X$27)),0))/7*L252)/L252)</f>
        <v/>
      </c>
      <c r="O252" s="586"/>
      <c r="P252" s="548" t="str">
        <f>IF($B252="","　　年　月",DATE(YEAR($I$27),MONTH($I$27)+6,DAY($I$27)))</f>
        <v>　　年　月</v>
      </c>
      <c r="Q252" s="548"/>
      <c r="R252" s="549"/>
      <c r="S252" s="569"/>
      <c r="T252" s="569"/>
      <c r="U252" s="570"/>
      <c r="V252" s="571"/>
      <c r="W252" s="572"/>
      <c r="X252" s="585" t="str">
        <f t="shared" ref="X252:X257" si="20">IF($B$252="","",(S252-40*DAY(EOMONTH(DATE(YEAR($X$27),MONTH($X$27)+6,DAY($X$27)),0))/7*V252)/V252)</f>
        <v/>
      </c>
      <c r="Y252" s="586"/>
      <c r="Z252" s="589" t="str">
        <f>IF(B252="","",IF(COUNTIF(N252:O257,"&gt;=45")+COUNTIF(X252:Y257,"&gt;=45")&gt;0,"A'≧45　あり","全月　　A'＜45"))</f>
        <v/>
      </c>
      <c r="AA252" s="590"/>
    </row>
    <row r="253" spans="2:27" ht="17.25" customHeight="1" x14ac:dyDescent="0.15">
      <c r="B253" s="564"/>
      <c r="C253" s="349"/>
      <c r="D253" s="565"/>
      <c r="E253" s="23"/>
      <c r="F253" s="547" t="str">
        <f>IF($B252="","　　年　月",DATE(YEAR($I$27),MONTH($I$27)+1,DAY($I$27)))</f>
        <v>　　年　月</v>
      </c>
      <c r="G253" s="548"/>
      <c r="H253" s="549"/>
      <c r="I253" s="551"/>
      <c r="J253" s="551"/>
      <c r="K253" s="552"/>
      <c r="L253" s="318"/>
      <c r="M253" s="550"/>
      <c r="N253" s="545" t="str">
        <f t="shared" si="19"/>
        <v/>
      </c>
      <c r="O253" s="546"/>
      <c r="P253" s="548" t="str">
        <f>IF($B252="","　　年　月",DATE(YEAR($I$27),MONTH($I$27)+7,DAY($I$27)))</f>
        <v>　　年　月</v>
      </c>
      <c r="Q253" s="548"/>
      <c r="R253" s="549"/>
      <c r="S253" s="551"/>
      <c r="T253" s="551"/>
      <c r="U253" s="552"/>
      <c r="V253" s="318"/>
      <c r="W253" s="550"/>
      <c r="X253" s="545" t="str">
        <f t="shared" si="20"/>
        <v/>
      </c>
      <c r="Y253" s="546"/>
      <c r="Z253" s="575"/>
      <c r="AA253" s="576"/>
    </row>
    <row r="254" spans="2:27" ht="17.25" customHeight="1" x14ac:dyDescent="0.15">
      <c r="B254" s="564"/>
      <c r="C254" s="349"/>
      <c r="D254" s="565"/>
      <c r="E254" s="23"/>
      <c r="F254" s="547" t="str">
        <f>IF($B252="","　　年　月",DATE(YEAR($I$27),MONTH($I$27)+2,DAY($I$27)))</f>
        <v>　　年　月</v>
      </c>
      <c r="G254" s="548"/>
      <c r="H254" s="549"/>
      <c r="I254" s="551"/>
      <c r="J254" s="551"/>
      <c r="K254" s="552"/>
      <c r="L254" s="318"/>
      <c r="M254" s="550"/>
      <c r="N254" s="545" t="str">
        <f t="shared" si="19"/>
        <v/>
      </c>
      <c r="O254" s="546"/>
      <c r="P254" s="548" t="str">
        <f>IF($B252="","　　年　月",DATE(YEAR($I$27),MONTH($I$27)+8,DAY($I$27)))</f>
        <v>　　年　月</v>
      </c>
      <c r="Q254" s="548"/>
      <c r="R254" s="549"/>
      <c r="S254" s="551"/>
      <c r="T254" s="551"/>
      <c r="U254" s="552"/>
      <c r="V254" s="318"/>
      <c r="W254" s="550"/>
      <c r="X254" s="545" t="str">
        <f t="shared" si="20"/>
        <v/>
      </c>
      <c r="Y254" s="546"/>
      <c r="Z254" s="575"/>
      <c r="AA254" s="576"/>
    </row>
    <row r="255" spans="2:27" ht="17.25" customHeight="1" x14ac:dyDescent="0.15">
      <c r="B255" s="564"/>
      <c r="C255" s="349"/>
      <c r="D255" s="565"/>
      <c r="E255" s="23"/>
      <c r="F255" s="547" t="str">
        <f>IF($B252="","　　年　月",DATE(YEAR($I$27),MONTH($I$27)+3,DAY($I$27)))</f>
        <v>　　年　月</v>
      </c>
      <c r="G255" s="548"/>
      <c r="H255" s="549"/>
      <c r="I255" s="551"/>
      <c r="J255" s="551"/>
      <c r="K255" s="552"/>
      <c r="L255" s="318"/>
      <c r="M255" s="550"/>
      <c r="N255" s="545" t="str">
        <f t="shared" si="19"/>
        <v/>
      </c>
      <c r="O255" s="546"/>
      <c r="P255" s="548" t="str">
        <f>IF($B252="","　　年　月",DATE(YEAR($I$27),MONTH($I$27)+9,DAY($I$27)))</f>
        <v>　　年　月</v>
      </c>
      <c r="Q255" s="548"/>
      <c r="R255" s="549"/>
      <c r="S255" s="551"/>
      <c r="T255" s="551"/>
      <c r="U255" s="552"/>
      <c r="V255" s="318"/>
      <c r="W255" s="550"/>
      <c r="X255" s="545" t="str">
        <f t="shared" si="20"/>
        <v/>
      </c>
      <c r="Y255" s="546"/>
      <c r="Z255" s="575"/>
      <c r="AA255" s="576"/>
    </row>
    <row r="256" spans="2:27" ht="17.25" customHeight="1" x14ac:dyDescent="0.15">
      <c r="B256" s="564"/>
      <c r="C256" s="349"/>
      <c r="D256" s="565"/>
      <c r="E256" s="23"/>
      <c r="F256" s="547" t="str">
        <f>IF($B252="","　　年　月",DATE(YEAR($I$27),MONTH($I$27)+4,DAY($I$27)))</f>
        <v>　　年　月</v>
      </c>
      <c r="G256" s="548"/>
      <c r="H256" s="549"/>
      <c r="I256" s="551"/>
      <c r="J256" s="551"/>
      <c r="K256" s="552"/>
      <c r="L256" s="318"/>
      <c r="M256" s="550"/>
      <c r="N256" s="545" t="str">
        <f t="shared" si="19"/>
        <v/>
      </c>
      <c r="O256" s="546"/>
      <c r="P256" s="548" t="str">
        <f>IF($B252="","　　年　月",DATE(YEAR($I$27),MONTH($I$27)+10,DAY($I$27)))</f>
        <v>　　年　月</v>
      </c>
      <c r="Q256" s="548"/>
      <c r="R256" s="549"/>
      <c r="S256" s="551"/>
      <c r="T256" s="551"/>
      <c r="U256" s="552"/>
      <c r="V256" s="318"/>
      <c r="W256" s="550"/>
      <c r="X256" s="545" t="str">
        <f t="shared" si="20"/>
        <v/>
      </c>
      <c r="Y256" s="546"/>
      <c r="Z256" s="575"/>
      <c r="AA256" s="576"/>
    </row>
    <row r="257" spans="2:27" ht="17.25" customHeight="1" thickBot="1" x14ac:dyDescent="0.2">
      <c r="B257" s="566"/>
      <c r="C257" s="567"/>
      <c r="D257" s="568"/>
      <c r="E257" s="23"/>
      <c r="F257" s="547" t="str">
        <f>IF($B252="","　　年　月",DATE(YEAR($I$27),MONTH($I$27)+5,DAY($I$27)))</f>
        <v>　　年　月</v>
      </c>
      <c r="G257" s="548"/>
      <c r="H257" s="549"/>
      <c r="I257" s="551"/>
      <c r="J257" s="551"/>
      <c r="K257" s="552"/>
      <c r="L257" s="318"/>
      <c r="M257" s="550"/>
      <c r="N257" s="587" t="str">
        <f t="shared" si="19"/>
        <v/>
      </c>
      <c r="O257" s="588"/>
      <c r="P257" s="548" t="str">
        <f>IF($B252="","　　年　月",DATE(YEAR($I$27),MONTH($I$27)+11,DAY($I$27)))</f>
        <v>　　年　月</v>
      </c>
      <c r="Q257" s="548"/>
      <c r="R257" s="549"/>
      <c r="S257" s="551"/>
      <c r="T257" s="551"/>
      <c r="U257" s="552"/>
      <c r="V257" s="318"/>
      <c r="W257" s="550"/>
      <c r="X257" s="587" t="str">
        <f t="shared" si="20"/>
        <v/>
      </c>
      <c r="Y257" s="588"/>
      <c r="Z257" s="591"/>
      <c r="AA257" s="592"/>
    </row>
    <row r="258" spans="2:27" ht="17.25" customHeight="1" thickTop="1" x14ac:dyDescent="0.15">
      <c r="B258" s="564"/>
      <c r="C258" s="349"/>
      <c r="D258" s="565"/>
      <c r="E258" s="23"/>
      <c r="F258" s="547" t="str">
        <f>IF($B258="","　　年　月",DATE(YEAR($I$27),MONTH($I$27),DAY($I$27)))</f>
        <v>　　年　月</v>
      </c>
      <c r="G258" s="548"/>
      <c r="H258" s="549"/>
      <c r="I258" s="569"/>
      <c r="J258" s="569"/>
      <c r="K258" s="570"/>
      <c r="L258" s="571"/>
      <c r="M258" s="572"/>
      <c r="N258" s="573" t="str">
        <f t="shared" ref="N258:N263" si="21">IF($B$258="","",(I258-40*DAY(EOMONTH(DATE(YEAR($X$27),MONTH($X$27),DAY($X$27)),0))/7*L258)/L258)</f>
        <v/>
      </c>
      <c r="O258" s="574"/>
      <c r="P258" s="548" t="str">
        <f>IF($B258="","　　年　月",DATE(YEAR($I$27),MONTH($I$27)+6,DAY($I$27)))</f>
        <v>　　年　月</v>
      </c>
      <c r="Q258" s="548"/>
      <c r="R258" s="549"/>
      <c r="S258" s="569"/>
      <c r="T258" s="569"/>
      <c r="U258" s="570"/>
      <c r="V258" s="571"/>
      <c r="W258" s="572"/>
      <c r="X258" s="573" t="str">
        <f t="shared" ref="X258:X263" si="22">IF($B$258="","",(S258-40*DAY(EOMONTH(DATE(YEAR($X$27),MONTH($X$27)+6,DAY($X$27)),0))/7*V258)/V258)</f>
        <v/>
      </c>
      <c r="Y258" s="574"/>
      <c r="Z258" s="575" t="str">
        <f>IF(B258="","",IF(COUNTIF(N258:O263,"&gt;=45")+COUNTIF(X258:Y263,"&gt;=45")&gt;0,"A'≧45　あり","全月　　A'＜45"))</f>
        <v/>
      </c>
      <c r="AA258" s="576"/>
    </row>
    <row r="259" spans="2:27" ht="17.25" customHeight="1" x14ac:dyDescent="0.15">
      <c r="B259" s="564"/>
      <c r="C259" s="349"/>
      <c r="D259" s="565"/>
      <c r="E259" s="23"/>
      <c r="F259" s="547" t="str">
        <f>IF($B258="","　　年　月",DATE(YEAR($I$27),MONTH($I$27)+1,DAY($I$27)))</f>
        <v>　　年　月</v>
      </c>
      <c r="G259" s="548"/>
      <c r="H259" s="549"/>
      <c r="I259" s="551"/>
      <c r="J259" s="551"/>
      <c r="K259" s="552"/>
      <c r="L259" s="318"/>
      <c r="M259" s="550"/>
      <c r="N259" s="545" t="str">
        <f t="shared" si="21"/>
        <v/>
      </c>
      <c r="O259" s="546"/>
      <c r="P259" s="548" t="str">
        <f>IF($B258="","　　年　月",DATE(YEAR($I$27),MONTH($I$27)+7,DAY($I$27)))</f>
        <v>　　年　月</v>
      </c>
      <c r="Q259" s="548"/>
      <c r="R259" s="549"/>
      <c r="S259" s="551"/>
      <c r="T259" s="551"/>
      <c r="U259" s="552"/>
      <c r="V259" s="318"/>
      <c r="W259" s="550"/>
      <c r="X259" s="545" t="str">
        <f t="shared" si="22"/>
        <v/>
      </c>
      <c r="Y259" s="546"/>
      <c r="Z259" s="575"/>
      <c r="AA259" s="576"/>
    </row>
    <row r="260" spans="2:27" ht="17.25" customHeight="1" x14ac:dyDescent="0.15">
      <c r="B260" s="564"/>
      <c r="C260" s="349"/>
      <c r="D260" s="565"/>
      <c r="E260" s="23"/>
      <c r="F260" s="547" t="str">
        <f>IF($B258="","　　年　月",DATE(YEAR($I$27),MONTH($I$27)+2,DAY($I$27)))</f>
        <v>　　年　月</v>
      </c>
      <c r="G260" s="548"/>
      <c r="H260" s="549"/>
      <c r="I260" s="551"/>
      <c r="J260" s="551"/>
      <c r="K260" s="552"/>
      <c r="L260" s="318"/>
      <c r="M260" s="550"/>
      <c r="N260" s="545" t="str">
        <f t="shared" si="21"/>
        <v/>
      </c>
      <c r="O260" s="546"/>
      <c r="P260" s="548" t="str">
        <f>IF($B258="","　　年　月",DATE(YEAR($I$27),MONTH($I$27)+8,DAY($I$27)))</f>
        <v>　　年　月</v>
      </c>
      <c r="Q260" s="548"/>
      <c r="R260" s="549"/>
      <c r="S260" s="551"/>
      <c r="T260" s="551"/>
      <c r="U260" s="552"/>
      <c r="V260" s="318"/>
      <c r="W260" s="550"/>
      <c r="X260" s="545" t="str">
        <f t="shared" si="22"/>
        <v/>
      </c>
      <c r="Y260" s="546"/>
      <c r="Z260" s="575"/>
      <c r="AA260" s="576"/>
    </row>
    <row r="261" spans="2:27" ht="17.25" customHeight="1" x14ac:dyDescent="0.15">
      <c r="B261" s="564"/>
      <c r="C261" s="349"/>
      <c r="D261" s="565"/>
      <c r="E261" s="23"/>
      <c r="F261" s="547" t="str">
        <f>IF($B258="","　　年　月",DATE(YEAR($I$27),MONTH($I$27)+3,DAY($I$27)))</f>
        <v>　　年　月</v>
      </c>
      <c r="G261" s="548"/>
      <c r="H261" s="549"/>
      <c r="I261" s="551"/>
      <c r="J261" s="551"/>
      <c r="K261" s="552"/>
      <c r="L261" s="318"/>
      <c r="M261" s="550"/>
      <c r="N261" s="545" t="str">
        <f t="shared" si="21"/>
        <v/>
      </c>
      <c r="O261" s="546"/>
      <c r="P261" s="548" t="str">
        <f>IF($B258="","　　年　月",DATE(YEAR($I$27),MONTH($I$27)+9,DAY($I$27)))</f>
        <v>　　年　月</v>
      </c>
      <c r="Q261" s="548"/>
      <c r="R261" s="549"/>
      <c r="S261" s="551"/>
      <c r="T261" s="551"/>
      <c r="U261" s="552"/>
      <c r="V261" s="318"/>
      <c r="W261" s="550"/>
      <c r="X261" s="545" t="str">
        <f t="shared" si="22"/>
        <v/>
      </c>
      <c r="Y261" s="546"/>
      <c r="Z261" s="575"/>
      <c r="AA261" s="576"/>
    </row>
    <row r="262" spans="2:27" ht="17.25" customHeight="1" x14ac:dyDescent="0.15">
      <c r="B262" s="564"/>
      <c r="C262" s="349"/>
      <c r="D262" s="565"/>
      <c r="E262" s="23"/>
      <c r="F262" s="547" t="str">
        <f>IF($B258="","　　年　月",DATE(YEAR($I$27),MONTH($I$27)+4,DAY($I$27)))</f>
        <v>　　年　月</v>
      </c>
      <c r="G262" s="548"/>
      <c r="H262" s="549"/>
      <c r="I262" s="551"/>
      <c r="J262" s="551"/>
      <c r="K262" s="552"/>
      <c r="L262" s="318"/>
      <c r="M262" s="550"/>
      <c r="N262" s="545" t="str">
        <f t="shared" si="21"/>
        <v/>
      </c>
      <c r="O262" s="546"/>
      <c r="P262" s="548" t="str">
        <f>IF($B258="","　　年　月",DATE(YEAR($I$27),MONTH($I$27)+10,DAY($I$27)))</f>
        <v>　　年　月</v>
      </c>
      <c r="Q262" s="548"/>
      <c r="R262" s="549"/>
      <c r="S262" s="551"/>
      <c r="T262" s="551"/>
      <c r="U262" s="552"/>
      <c r="V262" s="318"/>
      <c r="W262" s="550"/>
      <c r="X262" s="545" t="str">
        <f t="shared" si="22"/>
        <v/>
      </c>
      <c r="Y262" s="546"/>
      <c r="Z262" s="575"/>
      <c r="AA262" s="576"/>
    </row>
    <row r="263" spans="2:27" ht="17.25" customHeight="1" thickBot="1" x14ac:dyDescent="0.2">
      <c r="B263" s="566"/>
      <c r="C263" s="567"/>
      <c r="D263" s="568"/>
      <c r="E263" s="23"/>
      <c r="F263" s="547" t="str">
        <f>IF($B258="","　　年　月",DATE(YEAR($I$27),MONTH($I$27)+5,DAY($I$27)))</f>
        <v>　　年　月</v>
      </c>
      <c r="G263" s="548"/>
      <c r="H263" s="549"/>
      <c r="I263" s="577"/>
      <c r="J263" s="577"/>
      <c r="K263" s="578"/>
      <c r="L263" s="579"/>
      <c r="M263" s="580"/>
      <c r="N263" s="581" t="str">
        <f t="shared" si="21"/>
        <v/>
      </c>
      <c r="O263" s="582"/>
      <c r="P263" s="548" t="str">
        <f>IF($B258="","　　年　月",DATE(YEAR($I$27),MONTH($I$27)+11,DAY($I$27)))</f>
        <v>　　年　月</v>
      </c>
      <c r="Q263" s="548"/>
      <c r="R263" s="549"/>
      <c r="S263" s="577"/>
      <c r="T263" s="577"/>
      <c r="U263" s="578"/>
      <c r="V263" s="579"/>
      <c r="W263" s="580"/>
      <c r="X263" s="583" t="str">
        <f t="shared" si="22"/>
        <v/>
      </c>
      <c r="Y263" s="584"/>
      <c r="Z263" s="575"/>
      <c r="AA263" s="576"/>
    </row>
    <row r="264" spans="2:27" ht="27.75" customHeight="1" thickTop="1" thickBot="1" x14ac:dyDescent="0.2">
      <c r="F264" s="556" t="s">
        <v>189</v>
      </c>
      <c r="G264" s="557"/>
      <c r="H264" s="557"/>
      <c r="I264" s="557"/>
      <c r="J264" s="557"/>
      <c r="K264" s="557"/>
      <c r="L264" s="557"/>
      <c r="M264" s="557"/>
      <c r="N264" s="557"/>
      <c r="O264" s="557"/>
      <c r="P264" s="557"/>
      <c r="Q264" s="557"/>
      <c r="R264" s="557"/>
      <c r="S264" s="557"/>
      <c r="T264" s="557"/>
      <c r="U264" s="557"/>
      <c r="V264" s="557"/>
      <c r="W264" s="558"/>
      <c r="X264" s="559"/>
      <c r="Y264" s="560"/>
      <c r="Z264" s="560"/>
      <c r="AA264" s="561"/>
    </row>
    <row r="265" spans="2:27" ht="17.25" customHeight="1" thickTop="1" x14ac:dyDescent="0.15">
      <c r="AA265" s="35" t="str">
        <f>IF(G23="","",IF(X264="","リストから選択↑　",""))</f>
        <v/>
      </c>
    </row>
    <row r="266" spans="2:27" ht="17.25" customHeight="1" x14ac:dyDescent="0.15"/>
    <row r="267" spans="2:27" ht="17.25" customHeight="1" x14ac:dyDescent="0.15">
      <c r="B267" s="63" t="s">
        <v>199</v>
      </c>
      <c r="C267" s="63"/>
      <c r="D267" s="63"/>
      <c r="E267" s="63"/>
      <c r="F267" s="63"/>
      <c r="G267" s="63"/>
      <c r="H267" s="63"/>
      <c r="I267" s="63"/>
      <c r="J267" s="63"/>
      <c r="K267" s="63"/>
      <c r="L267" s="63"/>
      <c r="M267" s="63"/>
      <c r="N267" s="63"/>
      <c r="O267" s="63"/>
      <c r="P267" s="63"/>
      <c r="Q267" s="63"/>
      <c r="R267" s="63"/>
      <c r="S267" s="63"/>
      <c r="T267" s="63"/>
      <c r="U267" s="63"/>
      <c r="V267" s="63"/>
      <c r="W267" s="63"/>
      <c r="X267" s="63"/>
      <c r="Y267" s="63"/>
      <c r="Z267" s="63"/>
    </row>
    <row r="268" spans="2:27" ht="27.75" customHeight="1" x14ac:dyDescent="0.15">
      <c r="C268" s="562" t="s">
        <v>246</v>
      </c>
      <c r="D268" s="563"/>
      <c r="E268" s="563"/>
      <c r="F268" s="563"/>
      <c r="G268" s="563"/>
      <c r="H268" s="563"/>
      <c r="I268" s="563"/>
      <c r="J268" s="563"/>
      <c r="K268" s="563"/>
      <c r="L268" s="563"/>
      <c r="M268" s="563"/>
      <c r="N268" s="563"/>
      <c r="O268" s="563"/>
      <c r="P268" s="563"/>
      <c r="Q268" s="563"/>
      <c r="R268" s="563"/>
      <c r="S268" s="563"/>
      <c r="T268" s="563"/>
      <c r="U268" s="563"/>
      <c r="V268" s="563"/>
      <c r="W268" s="563"/>
      <c r="X268" s="563"/>
      <c r="Y268" s="563"/>
      <c r="Z268" s="563"/>
      <c r="AA268" s="563"/>
    </row>
    <row r="269" spans="2:27" s="9" customFormat="1" ht="47.25" customHeight="1" x14ac:dyDescent="0.15">
      <c r="B269" s="409" t="s">
        <v>200</v>
      </c>
      <c r="C269" s="367"/>
      <c r="D269" s="368"/>
      <c r="E269" s="71"/>
      <c r="F269" s="409" t="s">
        <v>0</v>
      </c>
      <c r="G269" s="410"/>
      <c r="H269" s="411"/>
      <c r="I269" s="409" t="s">
        <v>190</v>
      </c>
      <c r="J269" s="410"/>
      <c r="K269" s="410"/>
      <c r="L269" s="410"/>
      <c r="M269" s="409" t="s">
        <v>191</v>
      </c>
      <c r="N269" s="410"/>
      <c r="O269" s="410"/>
      <c r="P269" s="411"/>
    </row>
    <row r="270" spans="2:27" ht="17.25" customHeight="1" x14ac:dyDescent="0.15">
      <c r="B270" s="534" t="str">
        <f>IF(OR($X$237="非該当",$X$264="非該当"),DATE(YEAR($I$27),MONTH($I$27),DAY($I$27)),"")</f>
        <v/>
      </c>
      <c r="C270" s="535"/>
      <c r="D270" s="536"/>
      <c r="E270" s="26"/>
      <c r="F270" s="553"/>
      <c r="G270" s="554"/>
      <c r="H270" s="555"/>
      <c r="I270" s="516"/>
      <c r="J270" s="517"/>
      <c r="K270" s="517"/>
      <c r="L270" s="517"/>
      <c r="M270" s="518"/>
      <c r="N270" s="519"/>
      <c r="O270" s="519"/>
      <c r="P270" s="520"/>
      <c r="Q270" s="137" t="str">
        <f>IF(B270="","",IF(M270&gt;0,"","※Ｃ＝（各月の時間外労働時間数(X)の合計）"))</f>
        <v/>
      </c>
      <c r="R270" s="135"/>
      <c r="S270" s="135"/>
      <c r="T270" s="135"/>
      <c r="U270" s="135"/>
      <c r="V270" s="135"/>
      <c r="W270" s="135"/>
      <c r="X270" s="135"/>
      <c r="Y270" s="135"/>
      <c r="Z270" s="135"/>
      <c r="AA270" s="135"/>
    </row>
    <row r="271" spans="2:27" ht="17.25" customHeight="1" x14ac:dyDescent="0.15">
      <c r="B271" s="537"/>
      <c r="C271" s="538"/>
      <c r="D271" s="539"/>
      <c r="E271" s="26"/>
      <c r="F271" s="553"/>
      <c r="G271" s="554"/>
      <c r="H271" s="555"/>
      <c r="I271" s="516"/>
      <c r="J271" s="517"/>
      <c r="K271" s="517"/>
      <c r="L271" s="517"/>
      <c r="M271" s="518"/>
      <c r="N271" s="519"/>
      <c r="O271" s="519"/>
      <c r="P271" s="520"/>
      <c r="Q271" s="138" t="str">
        <f>IF(B270="","",IF(M270&gt;0,"","　　÷（各月の対象労働者数(Y)の合計）"))</f>
        <v/>
      </c>
      <c r="R271" s="136"/>
      <c r="S271" s="136"/>
      <c r="T271" s="136"/>
      <c r="U271" s="136"/>
      <c r="V271" s="136"/>
      <c r="W271" s="136"/>
      <c r="X271" s="136"/>
      <c r="Y271" s="136"/>
      <c r="Z271" s="136"/>
      <c r="AA271" s="136"/>
    </row>
    <row r="272" spans="2:27" ht="17.25" customHeight="1" x14ac:dyDescent="0.15">
      <c r="B272" s="540"/>
      <c r="C272" s="541"/>
      <c r="D272" s="542"/>
      <c r="E272" s="26"/>
      <c r="F272" s="553"/>
      <c r="G272" s="554"/>
      <c r="H272" s="555"/>
      <c r="I272" s="516"/>
      <c r="J272" s="517"/>
      <c r="K272" s="517"/>
      <c r="L272" s="517"/>
      <c r="M272" s="518"/>
      <c r="N272" s="519"/>
      <c r="O272" s="519"/>
      <c r="P272" s="520"/>
    </row>
    <row r="273" spans="2:27" ht="17.25" customHeight="1" x14ac:dyDescent="0.15">
      <c r="B273" s="534" t="str">
        <f>IF(OR($X$237="非該当",$X$264="非該当"),DATE(YEAR($I$27)-1,MONTH($I$27),DAY($I$27)),"")</f>
        <v/>
      </c>
      <c r="C273" s="535"/>
      <c r="D273" s="536"/>
      <c r="E273" s="26"/>
      <c r="F273" s="513" t="str">
        <f>IF(F270="","",F270)</f>
        <v/>
      </c>
      <c r="G273" s="514"/>
      <c r="H273" s="515"/>
      <c r="I273" s="516"/>
      <c r="J273" s="517"/>
      <c r="K273" s="517"/>
      <c r="L273" s="517"/>
      <c r="M273" s="518"/>
      <c r="N273" s="519"/>
      <c r="O273" s="519"/>
      <c r="P273" s="520"/>
    </row>
    <row r="274" spans="2:27" ht="17.25" customHeight="1" x14ac:dyDescent="0.15">
      <c r="B274" s="537"/>
      <c r="C274" s="538"/>
      <c r="D274" s="539"/>
      <c r="E274" s="26"/>
      <c r="F274" s="513" t="str">
        <f>IF(F271="","",F271)</f>
        <v/>
      </c>
      <c r="G274" s="514"/>
      <c r="H274" s="515"/>
      <c r="I274" s="516"/>
      <c r="J274" s="517"/>
      <c r="K274" s="517"/>
      <c r="L274" s="517"/>
      <c r="M274" s="518"/>
      <c r="N274" s="519"/>
      <c r="O274" s="519"/>
      <c r="P274" s="520"/>
    </row>
    <row r="275" spans="2:27" ht="17.25" customHeight="1" x14ac:dyDescent="0.15">
      <c r="B275" s="540"/>
      <c r="C275" s="541"/>
      <c r="D275" s="542"/>
      <c r="E275" s="26"/>
      <c r="F275" s="513" t="str">
        <f>IF(F272="","",F272)</f>
        <v/>
      </c>
      <c r="G275" s="514"/>
      <c r="H275" s="515"/>
      <c r="I275" s="516"/>
      <c r="J275" s="517"/>
      <c r="K275" s="517"/>
      <c r="L275" s="517"/>
      <c r="M275" s="518"/>
      <c r="N275" s="519"/>
      <c r="O275" s="519"/>
      <c r="P275" s="520"/>
      <c r="Q275" s="366" t="s">
        <v>192</v>
      </c>
      <c r="R275" s="367"/>
      <c r="S275" s="367"/>
      <c r="T275" s="367"/>
      <c r="U275" s="367"/>
      <c r="V275" s="367"/>
      <c r="W275" s="367"/>
      <c r="X275" s="367"/>
      <c r="Y275" s="367"/>
      <c r="Z275" s="367"/>
      <c r="AA275" s="368"/>
    </row>
    <row r="276" spans="2:27" ht="17.25" customHeight="1" x14ac:dyDescent="0.15">
      <c r="B276" s="534" t="str">
        <f>IF(OR($X$237="非該当",$X$264="非該当"),DATE(YEAR($I$27)-2,MONTH($I$27),DAY($I$27)),"")</f>
        <v/>
      </c>
      <c r="C276" s="535"/>
      <c r="D276" s="536"/>
      <c r="E276" s="26"/>
      <c r="F276" s="513" t="str">
        <f>IF(F270="","",F270)</f>
        <v/>
      </c>
      <c r="G276" s="514"/>
      <c r="H276" s="515"/>
      <c r="I276" s="516"/>
      <c r="J276" s="517"/>
      <c r="K276" s="517"/>
      <c r="L276" s="517"/>
      <c r="M276" s="518"/>
      <c r="N276" s="519"/>
      <c r="O276" s="519"/>
      <c r="P276" s="520"/>
      <c r="Q276" s="543" t="str">
        <f>IF(B276="","",P16)</f>
        <v/>
      </c>
      <c r="R276" s="544"/>
      <c r="S276" s="523" t="str">
        <f>IF(F276="","",F276)</f>
        <v/>
      </c>
      <c r="T276" s="524"/>
      <c r="U276" s="525"/>
      <c r="V276" s="526" t="str">
        <f>IF(S276="","",ROUND(SUMIF(F270:H278,S276,I270:L278)/3,2))</f>
        <v/>
      </c>
      <c r="W276" s="527"/>
      <c r="X276" s="528"/>
      <c r="Y276" s="531" t="str">
        <f>IF(S276="","",ROUND(SUMIF(F270:H278,S276,M270:P278)/3,2))</f>
        <v/>
      </c>
      <c r="Z276" s="532"/>
      <c r="AA276" s="533"/>
    </row>
    <row r="277" spans="2:27" ht="17.25" customHeight="1" x14ac:dyDescent="0.15">
      <c r="B277" s="537"/>
      <c r="C277" s="538"/>
      <c r="D277" s="539"/>
      <c r="E277" s="26"/>
      <c r="F277" s="513" t="str">
        <f>IF(F271="","",F271)</f>
        <v/>
      </c>
      <c r="G277" s="514"/>
      <c r="H277" s="515"/>
      <c r="I277" s="516"/>
      <c r="J277" s="517"/>
      <c r="K277" s="517"/>
      <c r="L277" s="517"/>
      <c r="M277" s="518"/>
      <c r="N277" s="519"/>
      <c r="O277" s="519"/>
      <c r="P277" s="520"/>
      <c r="Q277" s="529" t="s">
        <v>77</v>
      </c>
      <c r="R277" s="530"/>
      <c r="S277" s="523" t="str">
        <f t="shared" ref="S277:S281" si="23">IF(F277="","",F277)</f>
        <v/>
      </c>
      <c r="T277" s="524"/>
      <c r="U277" s="525"/>
      <c r="V277" s="526" t="str">
        <f>IF(S277="","",ROUND(SUMIF(F270:H278,S277,I270:L278)/3,2))</f>
        <v/>
      </c>
      <c r="W277" s="527"/>
      <c r="X277" s="528"/>
      <c r="Y277" s="531" t="str">
        <f>IF(S277="","",ROUND(SUMIF(F270:H278,S277,M270:P278)/3,2))</f>
        <v/>
      </c>
      <c r="Z277" s="532"/>
      <c r="AA277" s="533"/>
    </row>
    <row r="278" spans="2:27" ht="17.25" customHeight="1" x14ac:dyDescent="0.15">
      <c r="B278" s="540"/>
      <c r="C278" s="541"/>
      <c r="D278" s="542"/>
      <c r="E278" s="26"/>
      <c r="F278" s="513" t="str">
        <f>IF(F272="","",F272)</f>
        <v/>
      </c>
      <c r="G278" s="514"/>
      <c r="H278" s="515"/>
      <c r="I278" s="516"/>
      <c r="J278" s="517"/>
      <c r="K278" s="517"/>
      <c r="L278" s="517"/>
      <c r="M278" s="518"/>
      <c r="N278" s="519"/>
      <c r="O278" s="519"/>
      <c r="P278" s="520"/>
      <c r="Q278" s="521" t="str">
        <f>IF(B276="","",Q18)</f>
        <v/>
      </c>
      <c r="R278" s="522"/>
      <c r="S278" s="523" t="str">
        <f t="shared" si="23"/>
        <v/>
      </c>
      <c r="T278" s="524"/>
      <c r="U278" s="525"/>
      <c r="V278" s="526" t="str">
        <f>IF(S278="","",ROUND(SUMIF(F270:H278,S278,I270:L278)/3,2))</f>
        <v/>
      </c>
      <c r="W278" s="527"/>
      <c r="X278" s="528"/>
      <c r="Y278" s="531" t="str">
        <f>IF(S278="","",ROUND(SUMIF(F270:H278,S278,M270:P278)/3,2))</f>
        <v/>
      </c>
      <c r="Z278" s="532"/>
      <c r="AA278" s="533"/>
    </row>
    <row r="279" spans="2:27" ht="17.25" customHeight="1" x14ac:dyDescent="0.15">
      <c r="B279" s="534" t="str">
        <f>IF(OR($X$237="非該当",$X$264="非該当"),DATE(YEAR($I$27)-3,MONTH($I$27),DAY($I$27)),"")</f>
        <v/>
      </c>
      <c r="C279" s="535"/>
      <c r="D279" s="536"/>
      <c r="E279" s="26"/>
      <c r="F279" s="513" t="str">
        <f>IF(F276="","",F276)</f>
        <v/>
      </c>
      <c r="G279" s="514"/>
      <c r="H279" s="515"/>
      <c r="I279" s="516"/>
      <c r="J279" s="517"/>
      <c r="K279" s="517"/>
      <c r="L279" s="517"/>
      <c r="M279" s="518"/>
      <c r="N279" s="519"/>
      <c r="O279" s="519"/>
      <c r="P279" s="520"/>
      <c r="Q279" s="543" t="str">
        <f>IF(B279="","",P17)</f>
        <v/>
      </c>
      <c r="R279" s="544"/>
      <c r="S279" s="523" t="str">
        <f t="shared" si="23"/>
        <v/>
      </c>
      <c r="T279" s="524"/>
      <c r="U279" s="525"/>
      <c r="V279" s="526" t="str">
        <f>IF(S279="","",ROUND(SUMIF(F273:H281,S279,I273:L281)/3,2))</f>
        <v/>
      </c>
      <c r="W279" s="527"/>
      <c r="X279" s="528"/>
      <c r="Y279" s="531" t="str">
        <f>IF(S279="","",ROUND(SUMIF(F273:H281,S279,M273:P281)/3,2))</f>
        <v/>
      </c>
      <c r="Z279" s="532"/>
      <c r="AA279" s="533"/>
    </row>
    <row r="280" spans="2:27" ht="17.25" customHeight="1" x14ac:dyDescent="0.15">
      <c r="B280" s="537"/>
      <c r="C280" s="538"/>
      <c r="D280" s="539"/>
      <c r="E280" s="26"/>
      <c r="F280" s="513" t="str">
        <f>IF(F277="","",F277)</f>
        <v/>
      </c>
      <c r="G280" s="514"/>
      <c r="H280" s="515"/>
      <c r="I280" s="516"/>
      <c r="J280" s="517"/>
      <c r="K280" s="517"/>
      <c r="L280" s="517"/>
      <c r="M280" s="518"/>
      <c r="N280" s="519"/>
      <c r="O280" s="519"/>
      <c r="P280" s="520"/>
      <c r="Q280" s="529" t="s">
        <v>77</v>
      </c>
      <c r="R280" s="530"/>
      <c r="S280" s="523" t="str">
        <f t="shared" si="23"/>
        <v/>
      </c>
      <c r="T280" s="524"/>
      <c r="U280" s="525"/>
      <c r="V280" s="526" t="str">
        <f>IF(S280="","",ROUND(SUMIF(F273:H281,S280,I273:L281)/3,2))</f>
        <v/>
      </c>
      <c r="W280" s="527"/>
      <c r="X280" s="528"/>
      <c r="Y280" s="531" t="str">
        <f>IF(S280="","",ROUND(SUMIF(F273:H281,S280,M273:P281)/3,2))</f>
        <v/>
      </c>
      <c r="Z280" s="532"/>
      <c r="AA280" s="533"/>
    </row>
    <row r="281" spans="2:27" ht="17.25" customHeight="1" x14ac:dyDescent="0.15">
      <c r="B281" s="540"/>
      <c r="C281" s="541"/>
      <c r="D281" s="542"/>
      <c r="E281" s="26"/>
      <c r="F281" s="513" t="str">
        <f>IF(F278="","",F278)</f>
        <v/>
      </c>
      <c r="G281" s="514"/>
      <c r="H281" s="515"/>
      <c r="I281" s="516"/>
      <c r="J281" s="517"/>
      <c r="K281" s="517"/>
      <c r="L281" s="517"/>
      <c r="M281" s="518"/>
      <c r="N281" s="519"/>
      <c r="O281" s="519"/>
      <c r="P281" s="520"/>
      <c r="Q281" s="521" t="str">
        <f>IF(B279="","",Q19)</f>
        <v/>
      </c>
      <c r="R281" s="522"/>
      <c r="S281" s="523" t="str">
        <f t="shared" si="23"/>
        <v/>
      </c>
      <c r="T281" s="524"/>
      <c r="U281" s="525"/>
      <c r="V281" s="526" t="str">
        <f>IF(S281="","",ROUND(SUMIF(F273:H281,S281,I273:L281)/3,2))</f>
        <v/>
      </c>
      <c r="W281" s="527"/>
      <c r="X281" s="528"/>
      <c r="Y281" s="531" t="str">
        <f>IF(S281="","",ROUND(SUMIF(F273:H281,S281,M273:P281)/3,2))</f>
        <v/>
      </c>
      <c r="Z281" s="532"/>
      <c r="AA281" s="533"/>
    </row>
    <row r="282" spans="2:27" ht="17.25" customHeight="1" x14ac:dyDescent="0.15">
      <c r="B282" s="534" t="str">
        <f>IF(OR($X$237="非該当",$X$264="非該当"),DATE(YEAR($I$27)-4,MONTH($I$27),DAY($I$27)),"")</f>
        <v/>
      </c>
      <c r="C282" s="535"/>
      <c r="D282" s="536"/>
      <c r="E282" s="26"/>
      <c r="F282" s="513" t="str">
        <f>IF(F276="","",F276)</f>
        <v/>
      </c>
      <c r="G282" s="514"/>
      <c r="H282" s="515"/>
      <c r="I282" s="516"/>
      <c r="J282" s="517"/>
      <c r="K282" s="517"/>
      <c r="L282" s="517"/>
      <c r="M282" s="518"/>
      <c r="N282" s="519"/>
      <c r="O282" s="519"/>
      <c r="P282" s="520"/>
      <c r="Q282" s="543" t="str">
        <f>IF(B282="","",P18)</f>
        <v/>
      </c>
      <c r="R282" s="544"/>
      <c r="S282" s="523" t="str">
        <f>IF(F282="","",F282)</f>
        <v/>
      </c>
      <c r="T282" s="524"/>
      <c r="U282" s="525"/>
      <c r="V282" s="526" t="str">
        <f>IF(S282="","",ROUND(SUMIF(F276:H284,S282,I276:L284)/3,2))</f>
        <v/>
      </c>
      <c r="W282" s="527"/>
      <c r="X282" s="528"/>
      <c r="Y282" s="531" t="str">
        <f>IF(S282="","",ROUND(SUMIF(F276:H284,S282,M276:P284)/3,2))</f>
        <v/>
      </c>
      <c r="Z282" s="532"/>
      <c r="AA282" s="533"/>
    </row>
    <row r="283" spans="2:27" ht="17.25" customHeight="1" x14ac:dyDescent="0.15">
      <c r="B283" s="537"/>
      <c r="C283" s="538"/>
      <c r="D283" s="539"/>
      <c r="E283" s="26"/>
      <c r="F283" s="513" t="str">
        <f>IF(F277="","",F277)</f>
        <v/>
      </c>
      <c r="G283" s="514"/>
      <c r="H283" s="515"/>
      <c r="I283" s="516"/>
      <c r="J283" s="517"/>
      <c r="K283" s="517"/>
      <c r="L283" s="517"/>
      <c r="M283" s="518"/>
      <c r="N283" s="519"/>
      <c r="O283" s="519"/>
      <c r="P283" s="520"/>
      <c r="Q283" s="529" t="s">
        <v>77</v>
      </c>
      <c r="R283" s="530"/>
      <c r="S283" s="523" t="str">
        <f t="shared" ref="S283:S284" si="24">IF(F283="","",F283)</f>
        <v/>
      </c>
      <c r="T283" s="524"/>
      <c r="U283" s="525"/>
      <c r="V283" s="526" t="str">
        <f>IF(S283="","",ROUND(SUMIF(F276:H284,S283,I276:L284)/3,2))</f>
        <v/>
      </c>
      <c r="W283" s="527"/>
      <c r="X283" s="528"/>
      <c r="Y283" s="531" t="str">
        <f>IF(S283="","",ROUND(SUMIF(F276:H284,S283,M276:P284)/3,2))</f>
        <v/>
      </c>
      <c r="Z283" s="532"/>
      <c r="AA283" s="533"/>
    </row>
    <row r="284" spans="2:27" ht="17.25" customHeight="1" x14ac:dyDescent="0.15">
      <c r="B284" s="540"/>
      <c r="C284" s="541"/>
      <c r="D284" s="542"/>
      <c r="E284" s="26"/>
      <c r="F284" s="513" t="str">
        <f>IF(F278="","",F278)</f>
        <v/>
      </c>
      <c r="G284" s="514"/>
      <c r="H284" s="515"/>
      <c r="I284" s="516"/>
      <c r="J284" s="517"/>
      <c r="K284" s="517"/>
      <c r="L284" s="517"/>
      <c r="M284" s="518"/>
      <c r="N284" s="519"/>
      <c r="O284" s="519"/>
      <c r="P284" s="520"/>
      <c r="Q284" s="521" t="str">
        <f>IF(B282="","",Q20)</f>
        <v/>
      </c>
      <c r="R284" s="522"/>
      <c r="S284" s="523" t="str">
        <f t="shared" si="24"/>
        <v/>
      </c>
      <c r="T284" s="524"/>
      <c r="U284" s="525"/>
      <c r="V284" s="526" t="str">
        <f>IF(S284="","",ROUND(SUMIF(F276:H284,S284,I276:L284)/3,2))</f>
        <v/>
      </c>
      <c r="W284" s="527"/>
      <c r="X284" s="528"/>
      <c r="Y284" s="531" t="str">
        <f>IF(S284="","",ROUND(SUMIF(F276:H284,S284,M276:P284)/3,2))</f>
        <v/>
      </c>
      <c r="Z284" s="532"/>
      <c r="AA284" s="533"/>
    </row>
    <row r="285" spans="2:27" s="43" customFormat="1" ht="17.25" customHeight="1" x14ac:dyDescent="0.15">
      <c r="B285" s="60"/>
      <c r="C285" s="60"/>
      <c r="D285" s="60"/>
      <c r="E285" s="20"/>
      <c r="F285" s="60"/>
      <c r="G285" s="60"/>
      <c r="H285" s="60"/>
      <c r="I285" s="60"/>
      <c r="J285" s="60"/>
      <c r="K285" s="60"/>
      <c r="L285" s="60"/>
      <c r="M285" s="60"/>
      <c r="N285" s="60"/>
      <c r="O285" s="60"/>
      <c r="P285" s="60"/>
    </row>
    <row r="286" spans="2:27" ht="30.75" customHeight="1" x14ac:dyDescent="0.15">
      <c r="B286" s="2" t="s">
        <v>160</v>
      </c>
      <c r="H286" s="2"/>
      <c r="AA286" s="169" t="str">
        <f>IF(G$23="","",G$23)</f>
        <v/>
      </c>
    </row>
    <row r="287" spans="2:27" s="3" customFormat="1" ht="17.25" customHeight="1" x14ac:dyDescent="0.15">
      <c r="B287" s="372" t="s">
        <v>150</v>
      </c>
      <c r="C287" s="373"/>
      <c r="D287" s="373"/>
      <c r="E287" s="373"/>
      <c r="F287" s="373"/>
      <c r="G287" s="373"/>
      <c r="H287" s="373"/>
      <c r="I287" s="373"/>
      <c r="J287" s="373"/>
      <c r="K287" s="373"/>
      <c r="L287" s="373"/>
      <c r="M287" s="373"/>
      <c r="N287" s="373"/>
      <c r="O287" s="373"/>
      <c r="P287" s="373"/>
      <c r="Q287" s="373"/>
      <c r="R287" s="373"/>
      <c r="S287" s="373"/>
      <c r="T287" s="373"/>
      <c r="U287" s="373"/>
      <c r="V287" s="373"/>
      <c r="W287" s="373"/>
      <c r="X287" s="373"/>
      <c r="Y287" s="373"/>
      <c r="Z287" s="373"/>
      <c r="AA287" s="374"/>
    </row>
    <row r="288" spans="2:27" s="13" customFormat="1" ht="17.25" customHeight="1" x14ac:dyDescent="0.15">
      <c r="B288" s="354" t="s">
        <v>132</v>
      </c>
      <c r="C288" s="355"/>
      <c r="D288" s="355"/>
      <c r="E288" s="355"/>
      <c r="F288" s="355"/>
      <c r="G288" s="355"/>
      <c r="H288" s="355"/>
      <c r="I288" s="355"/>
      <c r="J288" s="355"/>
      <c r="K288" s="355"/>
      <c r="L288" s="355"/>
      <c r="M288" s="355"/>
      <c r="N288" s="355"/>
      <c r="O288" s="355"/>
      <c r="P288" s="355"/>
      <c r="Q288" s="355"/>
      <c r="R288" s="355"/>
      <c r="S288" s="355"/>
      <c r="T288" s="355"/>
      <c r="U288" s="355"/>
      <c r="V288" s="355"/>
      <c r="W288" s="355"/>
      <c r="X288" s="355"/>
      <c r="Y288" s="355"/>
      <c r="Z288" s="355"/>
      <c r="AA288" s="356"/>
    </row>
    <row r="289" spans="2:28" s="13" customFormat="1" ht="17.25" customHeight="1" x14ac:dyDescent="0.15">
      <c r="B289" s="357" t="s">
        <v>133</v>
      </c>
      <c r="C289" s="509"/>
      <c r="D289" s="509"/>
      <c r="E289" s="509"/>
      <c r="F289" s="509"/>
      <c r="G289" s="509"/>
      <c r="H289" s="509"/>
      <c r="I289" s="509"/>
      <c r="J289" s="509"/>
      <c r="K289" s="509"/>
      <c r="L289" s="509"/>
      <c r="M289" s="509"/>
      <c r="N289" s="509"/>
      <c r="O289" s="509"/>
      <c r="P289" s="509"/>
      <c r="Q289" s="509"/>
      <c r="R289" s="509"/>
      <c r="S289" s="509"/>
      <c r="T289" s="509"/>
      <c r="U289" s="509"/>
      <c r="V289" s="509"/>
      <c r="W289" s="509"/>
      <c r="X289" s="509"/>
      <c r="Y289" s="509"/>
      <c r="Z289" s="509"/>
      <c r="AA289" s="510"/>
    </row>
    <row r="290" spans="2:28" s="13" customFormat="1" ht="27" customHeight="1" x14ac:dyDescent="0.15">
      <c r="B290" s="360" t="s">
        <v>145</v>
      </c>
      <c r="C290" s="511"/>
      <c r="D290" s="511"/>
      <c r="E290" s="511"/>
      <c r="F290" s="511"/>
      <c r="G290" s="511"/>
      <c r="H290" s="511"/>
      <c r="I290" s="511"/>
      <c r="J290" s="511"/>
      <c r="K290" s="511"/>
      <c r="L290" s="511"/>
      <c r="M290" s="511"/>
      <c r="N290" s="511"/>
      <c r="O290" s="511"/>
      <c r="P290" s="511"/>
      <c r="Q290" s="511"/>
      <c r="R290" s="511"/>
      <c r="S290" s="511"/>
      <c r="T290" s="511"/>
      <c r="U290" s="511"/>
      <c r="V290" s="511"/>
      <c r="W290" s="511"/>
      <c r="X290" s="511"/>
      <c r="Y290" s="511"/>
      <c r="Z290" s="511"/>
      <c r="AA290" s="512"/>
    </row>
    <row r="291" spans="2:28" ht="17.25" customHeight="1" x14ac:dyDescent="0.15"/>
    <row r="292" spans="2:28" ht="17.25" customHeight="1" thickBot="1" x14ac:dyDescent="0.2">
      <c r="B292" s="18" t="s">
        <v>134</v>
      </c>
    </row>
    <row r="293" spans="2:28" s="9" customFormat="1" ht="47.25" customHeight="1" thickTop="1" x14ac:dyDescent="0.15">
      <c r="B293" s="409" t="s">
        <v>5</v>
      </c>
      <c r="C293" s="367"/>
      <c r="D293" s="368"/>
      <c r="E293" s="71"/>
      <c r="F293" s="409" t="s">
        <v>24</v>
      </c>
      <c r="G293" s="410"/>
      <c r="H293" s="411"/>
      <c r="I293" s="409" t="s">
        <v>25</v>
      </c>
      <c r="J293" s="367"/>
      <c r="K293" s="368"/>
      <c r="L293" s="366" t="s">
        <v>26</v>
      </c>
      <c r="M293" s="367"/>
      <c r="N293" s="367"/>
      <c r="O293" s="478" t="s">
        <v>27</v>
      </c>
      <c r="P293" s="479"/>
      <c r="Q293" s="480"/>
      <c r="R293" s="478" t="s">
        <v>237</v>
      </c>
      <c r="S293" s="779"/>
      <c r="T293" s="779"/>
      <c r="U293" s="779"/>
      <c r="V293" s="779"/>
      <c r="W293" s="780"/>
      <c r="X293" s="478" t="s">
        <v>35</v>
      </c>
      <c r="Y293" s="480"/>
    </row>
    <row r="294" spans="2:28" s="9" customFormat="1" ht="17.25" customHeight="1" x14ac:dyDescent="0.15">
      <c r="B294" s="485" t="str">
        <f>IF($I$27="","",$I$27)</f>
        <v/>
      </c>
      <c r="C294" s="486"/>
      <c r="D294" s="487"/>
      <c r="E294" s="26"/>
      <c r="F294" s="491"/>
      <c r="G294" s="492"/>
      <c r="H294" s="493"/>
      <c r="I294" s="491"/>
      <c r="J294" s="492"/>
      <c r="K294" s="493"/>
      <c r="L294" s="497" t="str">
        <f>IF(B294="","",F294+I294)</f>
        <v/>
      </c>
      <c r="M294" s="498"/>
      <c r="N294" s="499"/>
      <c r="O294" s="503" t="str">
        <f>IF(B294="","",IF(L294&lt;1,0,ROUND(F294/L294,3)))</f>
        <v/>
      </c>
      <c r="P294" s="504"/>
      <c r="Q294" s="505"/>
      <c r="R294" s="815" t="str">
        <f>IF(B294="","",IF(R26="",R25,R26))</f>
        <v/>
      </c>
      <c r="S294" s="816"/>
      <c r="T294" s="816"/>
      <c r="U294" s="816"/>
      <c r="V294" s="816"/>
      <c r="W294" s="817"/>
      <c r="X294" s="481"/>
      <c r="Y294" s="482"/>
    </row>
    <row r="295" spans="2:28" s="9" customFormat="1" ht="17.25" customHeight="1" thickBot="1" x14ac:dyDescent="0.2">
      <c r="B295" s="488"/>
      <c r="C295" s="489"/>
      <c r="D295" s="490"/>
      <c r="E295" s="26"/>
      <c r="F295" s="494"/>
      <c r="G295" s="495"/>
      <c r="H295" s="496"/>
      <c r="I295" s="494"/>
      <c r="J295" s="495"/>
      <c r="K295" s="496"/>
      <c r="L295" s="500"/>
      <c r="M295" s="501"/>
      <c r="N295" s="502"/>
      <c r="O295" s="506"/>
      <c r="P295" s="507"/>
      <c r="Q295" s="508"/>
      <c r="R295" s="930"/>
      <c r="S295" s="931"/>
      <c r="T295" s="931"/>
      <c r="U295" s="931"/>
      <c r="V295" s="931"/>
      <c r="W295" s="932"/>
      <c r="X295" s="483"/>
      <c r="Y295" s="484"/>
    </row>
    <row r="296" spans="2:28" ht="17.25" customHeight="1" thickTop="1" x14ac:dyDescent="0.15">
      <c r="S296" s="10" t="str">
        <f>IF(G23="","",IF(G23="","",IF(R295="","上段に産業分類（製造業は中分類）を、下段に産業平均値を記載↑","")))</f>
        <v/>
      </c>
      <c r="X296" s="9"/>
      <c r="Y296" s="10" t="str">
        <f>IF(G23="","",IF(X294="","リストから選択↑　",""))</f>
        <v/>
      </c>
      <c r="AA296" s="35"/>
    </row>
    <row r="297" spans="2:28" ht="17.25" customHeight="1" x14ac:dyDescent="0.15">
      <c r="B297" s="9" t="s">
        <v>201</v>
      </c>
      <c r="U297" s="10"/>
      <c r="V297" s="10"/>
      <c r="W297" s="10"/>
      <c r="X297" s="10"/>
      <c r="Y297" s="10"/>
      <c r="Z297" s="10"/>
      <c r="AA297" s="10"/>
      <c r="AB297" s="10"/>
    </row>
    <row r="298" spans="2:28" s="9" customFormat="1" ht="47.25" customHeight="1" x14ac:dyDescent="0.15">
      <c r="B298" s="409" t="s">
        <v>136</v>
      </c>
      <c r="C298" s="367"/>
      <c r="D298" s="368"/>
      <c r="E298" s="71"/>
      <c r="F298" s="409" t="s">
        <v>24</v>
      </c>
      <c r="G298" s="410"/>
      <c r="H298" s="411"/>
      <c r="I298" s="409" t="s">
        <v>25</v>
      </c>
      <c r="J298" s="367"/>
      <c r="K298" s="368"/>
      <c r="L298" s="366" t="s">
        <v>26</v>
      </c>
      <c r="M298" s="367"/>
      <c r="N298" s="367"/>
      <c r="O298" s="409" t="s">
        <v>27</v>
      </c>
      <c r="P298" s="367"/>
      <c r="Q298" s="368"/>
    </row>
    <row r="299" spans="2:28" s="9" customFormat="1" ht="17.25" customHeight="1" x14ac:dyDescent="0.15">
      <c r="B299" s="403" t="str">
        <f>IF(OR($X$294="非該当",$X$294="算出不能"),DATE(YEAR($I$27)-1,MONTH($I$27),DAY($I$27)),"")</f>
        <v/>
      </c>
      <c r="C299" s="404"/>
      <c r="D299" s="405"/>
      <c r="E299" s="26"/>
      <c r="F299" s="454"/>
      <c r="G299" s="455"/>
      <c r="H299" s="456"/>
      <c r="I299" s="454"/>
      <c r="J299" s="455"/>
      <c r="K299" s="456"/>
      <c r="L299" s="457" t="str">
        <f>IF(B299="","",F299+I299)</f>
        <v/>
      </c>
      <c r="M299" s="458"/>
      <c r="N299" s="459"/>
      <c r="O299" s="460" t="str">
        <f>IF(B299="","",IF(L299&lt;1,0,ROUND(F299/L299,3)))</f>
        <v/>
      </c>
      <c r="P299" s="461"/>
      <c r="Q299" s="462"/>
      <c r="R299" s="366" t="s">
        <v>187</v>
      </c>
      <c r="S299" s="367"/>
      <c r="T299" s="367"/>
      <c r="U299" s="367"/>
      <c r="V299" s="367"/>
      <c r="W299" s="367"/>
      <c r="X299" s="367"/>
      <c r="Y299" s="368"/>
    </row>
    <row r="300" spans="2:28" s="9" customFormat="1" ht="17.25" customHeight="1" x14ac:dyDescent="0.15">
      <c r="B300" s="403" t="str">
        <f>IF(OR($X$294="非該当",$X$294="算出不能"),DATE(YEAR($I$27)-2,MONTH($I$27),DAY($I$27)),"")</f>
        <v/>
      </c>
      <c r="C300" s="404"/>
      <c r="D300" s="405"/>
      <c r="E300" s="26"/>
      <c r="F300" s="454"/>
      <c r="G300" s="455"/>
      <c r="H300" s="456"/>
      <c r="I300" s="454"/>
      <c r="J300" s="455"/>
      <c r="K300" s="456"/>
      <c r="L300" s="457" t="str">
        <f>IF(B300="","",F300+I300)</f>
        <v/>
      </c>
      <c r="M300" s="458"/>
      <c r="N300" s="459"/>
      <c r="O300" s="460" t="str">
        <f t="shared" ref="O300:O301" si="25">IF(B300="","",IF(L300&lt;1,0,ROUND(F300/L300,3)))</f>
        <v/>
      </c>
      <c r="P300" s="461"/>
      <c r="Q300" s="462"/>
      <c r="R300" s="468" t="str">
        <f>IF(B300="","～",P16&amp;"～"&amp;Q18)</f>
        <v>～</v>
      </c>
      <c r="S300" s="469"/>
      <c r="T300" s="469"/>
      <c r="U300" s="469"/>
      <c r="V300" s="470"/>
      <c r="W300" s="460" t="str">
        <f>IF(B300="","",ROUND(AVERAGE(O294,O299,O300),3))</f>
        <v/>
      </c>
      <c r="X300" s="461"/>
      <c r="Y300" s="462"/>
    </row>
    <row r="301" spans="2:28" s="9" customFormat="1" ht="17.25" customHeight="1" x14ac:dyDescent="0.15">
      <c r="B301" s="403" t="str">
        <f>IF(OR($X$294="非該当",$X$294="算出不能"),DATE(YEAR($I$27)-3,MONTH($I$27),DAY($I$27)),"")</f>
        <v/>
      </c>
      <c r="C301" s="404"/>
      <c r="D301" s="405"/>
      <c r="E301" s="26"/>
      <c r="F301" s="454"/>
      <c r="G301" s="455"/>
      <c r="H301" s="456"/>
      <c r="I301" s="454"/>
      <c r="J301" s="455"/>
      <c r="K301" s="456"/>
      <c r="L301" s="457" t="str">
        <f>IF(B301="","",F301+I301)</f>
        <v/>
      </c>
      <c r="M301" s="458"/>
      <c r="N301" s="459"/>
      <c r="O301" s="460" t="str">
        <f t="shared" si="25"/>
        <v/>
      </c>
      <c r="P301" s="461"/>
      <c r="Q301" s="462"/>
      <c r="R301" s="468" t="str">
        <f>IF(B301="","～",P17&amp;"～"&amp;Q19)</f>
        <v>～</v>
      </c>
      <c r="S301" s="469"/>
      <c r="T301" s="469"/>
      <c r="U301" s="469"/>
      <c r="V301" s="470"/>
      <c r="W301" s="460" t="str">
        <f>IF(B301="","",ROUND(AVERAGE(O299,O300,O301),3))</f>
        <v/>
      </c>
      <c r="X301" s="461"/>
      <c r="Y301" s="462"/>
    </row>
    <row r="302" spans="2:28" s="9" customFormat="1" ht="17.25" customHeight="1" x14ac:dyDescent="0.15">
      <c r="B302" s="403" t="str">
        <f>IF(OR($X$294="非該当",$X$294="算出不能"),DATE(YEAR($I$27)-4,MONTH($I$27),DAY($I$27)),"")</f>
        <v/>
      </c>
      <c r="C302" s="404"/>
      <c r="D302" s="405"/>
      <c r="E302" s="26"/>
      <c r="F302" s="454"/>
      <c r="G302" s="455"/>
      <c r="H302" s="456"/>
      <c r="I302" s="454"/>
      <c r="J302" s="455"/>
      <c r="K302" s="456"/>
      <c r="L302" s="457" t="str">
        <f>IF(B302="","",F302+I302)</f>
        <v/>
      </c>
      <c r="M302" s="458"/>
      <c r="N302" s="459"/>
      <c r="O302" s="460" t="str">
        <f>IF(B302="","",IF(L302&lt;1,0,ROUND(F302/L302,3)))</f>
        <v/>
      </c>
      <c r="P302" s="461"/>
      <c r="Q302" s="462"/>
      <c r="R302" s="468" t="str">
        <f>IF(B302="","～",P18&amp;"～"&amp;Q20)</f>
        <v>～</v>
      </c>
      <c r="S302" s="469"/>
      <c r="T302" s="469"/>
      <c r="U302" s="469"/>
      <c r="V302" s="470"/>
      <c r="W302" s="460" t="str">
        <f>IF(B302="","",ROUND(AVERAGE(O300,O301,O302),3))</f>
        <v/>
      </c>
      <c r="X302" s="461"/>
      <c r="Y302" s="462"/>
    </row>
    <row r="303" spans="2:28" s="43" customFormat="1" ht="17.25" customHeight="1" x14ac:dyDescent="0.15">
      <c r="E303" s="20"/>
    </row>
    <row r="304" spans="2:28" ht="17.25" customHeight="1" x14ac:dyDescent="0.15">
      <c r="I304" s="15"/>
      <c r="J304" s="15"/>
      <c r="K304" s="15"/>
    </row>
    <row r="305" spans="2:27" ht="17.25" customHeight="1" x14ac:dyDescent="0.15">
      <c r="B305" s="18" t="s">
        <v>135</v>
      </c>
      <c r="J305" s="16"/>
    </row>
    <row r="306" spans="2:27" ht="17.25" customHeight="1" thickBot="1" x14ac:dyDescent="0.2">
      <c r="G306" s="449" t="s">
        <v>40</v>
      </c>
      <c r="H306" s="450"/>
      <c r="I306" s="450"/>
      <c r="J306" s="450"/>
      <c r="K306" s="450"/>
      <c r="L306" s="450"/>
      <c r="M306" s="450"/>
      <c r="N306" s="451"/>
      <c r="O306" s="449" t="s">
        <v>41</v>
      </c>
      <c r="P306" s="450"/>
      <c r="Q306" s="450"/>
      <c r="R306" s="450"/>
      <c r="S306" s="450"/>
      <c r="T306" s="450"/>
      <c r="U306" s="450"/>
      <c r="V306" s="451"/>
    </row>
    <row r="307" spans="2:27" s="9" customFormat="1" ht="54" customHeight="1" thickTop="1" x14ac:dyDescent="0.15">
      <c r="B307" s="366" t="s">
        <v>68</v>
      </c>
      <c r="C307" s="367"/>
      <c r="D307" s="367"/>
      <c r="E307" s="367"/>
      <c r="F307" s="368"/>
      <c r="G307" s="409" t="s">
        <v>28</v>
      </c>
      <c r="H307" s="411"/>
      <c r="I307" s="409" t="s">
        <v>29</v>
      </c>
      <c r="J307" s="411"/>
      <c r="K307" s="366" t="s">
        <v>30</v>
      </c>
      <c r="L307" s="368"/>
      <c r="M307" s="452" t="s">
        <v>31</v>
      </c>
      <c r="N307" s="453"/>
      <c r="O307" s="409" t="s">
        <v>28</v>
      </c>
      <c r="P307" s="411"/>
      <c r="Q307" s="409" t="s">
        <v>29</v>
      </c>
      <c r="R307" s="411"/>
      <c r="S307" s="366" t="s">
        <v>30</v>
      </c>
      <c r="T307" s="368"/>
      <c r="U307" s="409" t="s">
        <v>32</v>
      </c>
      <c r="V307" s="367"/>
      <c r="W307" s="478" t="s">
        <v>33</v>
      </c>
      <c r="X307" s="479"/>
      <c r="Y307" s="480"/>
      <c r="Z307" s="419" t="s">
        <v>175</v>
      </c>
      <c r="AA307" s="420"/>
    </row>
    <row r="308" spans="2:27" ht="17.25" customHeight="1" x14ac:dyDescent="0.15">
      <c r="B308" s="363" t="str">
        <f>IF($I$27="","",$I$27)</f>
        <v/>
      </c>
      <c r="C308" s="364"/>
      <c r="D308" s="364"/>
      <c r="E308" s="364"/>
      <c r="F308" s="365"/>
      <c r="G308" s="463"/>
      <c r="H308" s="464"/>
      <c r="I308" s="463"/>
      <c r="J308" s="464"/>
      <c r="K308" s="427" t="str">
        <f>IF(B308="","",IF(I308&lt;1,0,ROUND(G308/I308,2)))</f>
        <v/>
      </c>
      <c r="L308" s="428"/>
      <c r="M308" s="429" t="str">
        <f>IF(B308="","",ROUND(SUM(K308:L310)/3,3))</f>
        <v/>
      </c>
      <c r="N308" s="430"/>
      <c r="O308" s="463"/>
      <c r="P308" s="464"/>
      <c r="Q308" s="463"/>
      <c r="R308" s="464"/>
      <c r="S308" s="427" t="str">
        <f>IF(B308="","",IF(Q308&lt;1,0,ROUND(O308/Q308,2)))</f>
        <v/>
      </c>
      <c r="T308" s="428"/>
      <c r="U308" s="429" t="str">
        <f>IF(B308="","",ROUND(SUM(S308:T310)/3,3))</f>
        <v/>
      </c>
      <c r="V308" s="465"/>
      <c r="W308" s="471" t="str">
        <f>IF(B308="","",IF(U308=0,0,ROUND(M308/U308,2)))</f>
        <v/>
      </c>
      <c r="X308" s="436"/>
      <c r="Y308" s="472"/>
      <c r="Z308" s="421"/>
      <c r="AA308" s="422"/>
    </row>
    <row r="309" spans="2:27" ht="17.25" customHeight="1" x14ac:dyDescent="0.15">
      <c r="B309" s="363" t="str">
        <f>IF($I$27="","",DATE(YEAR($I$27)-1,MONTH($I$27),DAY($I$27)))</f>
        <v/>
      </c>
      <c r="C309" s="364"/>
      <c r="D309" s="364"/>
      <c r="E309" s="364"/>
      <c r="F309" s="365"/>
      <c r="G309" s="463"/>
      <c r="H309" s="464"/>
      <c r="I309" s="463"/>
      <c r="J309" s="464"/>
      <c r="K309" s="427" t="str">
        <f t="shared" ref="K309:K310" si="26">IF(B309="","",IF(I309&lt;1,0,ROUND(G309/I309,2)))</f>
        <v/>
      </c>
      <c r="L309" s="428"/>
      <c r="M309" s="431"/>
      <c r="N309" s="432"/>
      <c r="O309" s="463"/>
      <c r="P309" s="464"/>
      <c r="Q309" s="463"/>
      <c r="R309" s="464"/>
      <c r="S309" s="427" t="str">
        <f t="shared" ref="S309:S310" si="27">IF(B309="","",IF(Q309&lt;1,0,ROUND(O309/Q309,2)))</f>
        <v/>
      </c>
      <c r="T309" s="428"/>
      <c r="U309" s="431"/>
      <c r="V309" s="466"/>
      <c r="W309" s="473"/>
      <c r="X309" s="439"/>
      <c r="Y309" s="474"/>
      <c r="Z309" s="423"/>
      <c r="AA309" s="424"/>
    </row>
    <row r="310" spans="2:27" ht="17.25" customHeight="1" thickBot="1" x14ac:dyDescent="0.2">
      <c r="B310" s="363" t="str">
        <f>IF($I$27="","",DATE(YEAR($I$27)-2,MONTH($I$27),DAY($I$27)))</f>
        <v/>
      </c>
      <c r="C310" s="364"/>
      <c r="D310" s="364"/>
      <c r="E310" s="364"/>
      <c r="F310" s="365"/>
      <c r="G310" s="463"/>
      <c r="H310" s="464"/>
      <c r="I310" s="463"/>
      <c r="J310" s="464"/>
      <c r="K310" s="427" t="str">
        <f t="shared" si="26"/>
        <v/>
      </c>
      <c r="L310" s="428"/>
      <c r="M310" s="433"/>
      <c r="N310" s="434"/>
      <c r="O310" s="463"/>
      <c r="P310" s="464"/>
      <c r="Q310" s="463"/>
      <c r="R310" s="464"/>
      <c r="S310" s="427" t="str">
        <f t="shared" si="27"/>
        <v/>
      </c>
      <c r="T310" s="428"/>
      <c r="U310" s="433"/>
      <c r="V310" s="467"/>
      <c r="W310" s="475"/>
      <c r="X310" s="476"/>
      <c r="Y310" s="477"/>
      <c r="Z310" s="425"/>
      <c r="AA310" s="426"/>
    </row>
    <row r="311" spans="2:27" ht="17.25" customHeight="1" thickTop="1" x14ac:dyDescent="0.15">
      <c r="AA311" s="35" t="str">
        <f>IF(G23="","",IF(Z308="","リストから選択↑　",""))</f>
        <v/>
      </c>
    </row>
    <row r="312" spans="2:27" ht="17.25" customHeight="1" x14ac:dyDescent="0.15">
      <c r="B312" s="9" t="s">
        <v>202</v>
      </c>
    </row>
    <row r="313" spans="2:27" ht="17.25" customHeight="1" x14ac:dyDescent="0.15">
      <c r="G313" s="449" t="s">
        <v>40</v>
      </c>
      <c r="H313" s="450"/>
      <c r="I313" s="450"/>
      <c r="J313" s="450"/>
      <c r="K313" s="450"/>
      <c r="L313" s="450"/>
      <c r="M313" s="450"/>
      <c r="N313" s="451"/>
      <c r="O313" s="449" t="s">
        <v>41</v>
      </c>
      <c r="P313" s="450"/>
      <c r="Q313" s="450"/>
      <c r="R313" s="450"/>
      <c r="S313" s="450"/>
      <c r="T313" s="450"/>
      <c r="U313" s="450"/>
      <c r="V313" s="451"/>
    </row>
    <row r="314" spans="2:27" s="9" customFormat="1" ht="54" customHeight="1" x14ac:dyDescent="0.15">
      <c r="B314" s="409" t="s">
        <v>218</v>
      </c>
      <c r="C314" s="367"/>
      <c r="D314" s="367"/>
      <c r="E314" s="367"/>
      <c r="F314" s="368"/>
      <c r="G314" s="409" t="s">
        <v>28</v>
      </c>
      <c r="H314" s="411"/>
      <c r="I314" s="409" t="s">
        <v>29</v>
      </c>
      <c r="J314" s="411"/>
      <c r="K314" s="366" t="s">
        <v>30</v>
      </c>
      <c r="L314" s="368"/>
      <c r="M314" s="452" t="s">
        <v>31</v>
      </c>
      <c r="N314" s="453"/>
      <c r="O314" s="409" t="s">
        <v>28</v>
      </c>
      <c r="P314" s="411"/>
      <c r="Q314" s="409" t="s">
        <v>29</v>
      </c>
      <c r="R314" s="411"/>
      <c r="S314" s="366" t="s">
        <v>30</v>
      </c>
      <c r="T314" s="368"/>
      <c r="U314" s="409" t="s">
        <v>32</v>
      </c>
      <c r="V314" s="367"/>
      <c r="W314" s="409" t="s">
        <v>33</v>
      </c>
      <c r="X314" s="367"/>
      <c r="Y314" s="368"/>
      <c r="Z314" s="1"/>
      <c r="AA314" s="1"/>
    </row>
    <row r="315" spans="2:27" ht="17.25" customHeight="1" x14ac:dyDescent="0.15">
      <c r="B315" s="375" t="s">
        <v>193</v>
      </c>
      <c r="C315" s="376"/>
      <c r="D315" s="444" t="str">
        <f>IF(OR($Z$308="非該当",$Z$308="算出不能"),DATE(YEAR($I$27)-1,MONTH($I$27),DAY($I$27)),"")</f>
        <v/>
      </c>
      <c r="E315" s="445"/>
      <c r="F315" s="446"/>
      <c r="G315" s="318" t="str">
        <f>IF($D$315="","",G309)</f>
        <v/>
      </c>
      <c r="H315" s="319"/>
      <c r="I315" s="318" t="str">
        <f>IF($D$315="","",I309)</f>
        <v/>
      </c>
      <c r="J315" s="319"/>
      <c r="K315" s="427" t="str">
        <f>IF(D315="","",IF(I315&lt;1,0,ROUND(G315/I315,2)))</f>
        <v/>
      </c>
      <c r="L315" s="428"/>
      <c r="M315" s="429" t="str">
        <f>IF(D315="","",ROUND(SUM(K315:L317)/3,3))</f>
        <v/>
      </c>
      <c r="N315" s="430"/>
      <c r="O315" s="318" t="str">
        <f>IF($D$315="","",O309)</f>
        <v/>
      </c>
      <c r="P315" s="319"/>
      <c r="Q315" s="318" t="str">
        <f>IF($D$315="","",Q309)</f>
        <v/>
      </c>
      <c r="R315" s="319"/>
      <c r="S315" s="427" t="str">
        <f>IF(D315="","",IF(Q315&lt;1,0,ROUND(O315/Q315,2)))</f>
        <v/>
      </c>
      <c r="T315" s="428"/>
      <c r="U315" s="429" t="str">
        <f>IF(D315="","",ROUND(SUM(S315:T317)/3,3))</f>
        <v/>
      </c>
      <c r="V315" s="430"/>
      <c r="W315" s="435" t="str">
        <f>IF(D315="","",IF(U315=0,0,ROUND(M315/U315,2)))</f>
        <v/>
      </c>
      <c r="X315" s="436"/>
      <c r="Y315" s="437"/>
    </row>
    <row r="316" spans="2:27" ht="17.25" customHeight="1" x14ac:dyDescent="0.15">
      <c r="B316" s="377"/>
      <c r="C316" s="378"/>
      <c r="D316" s="444" t="str">
        <f>IF(OR($Z$308="非該当",$Z$308="算出不能"),DATE(YEAR($I$27)-2,MONTH($I$27),DAY($I$27)),"")</f>
        <v/>
      </c>
      <c r="E316" s="445"/>
      <c r="F316" s="446"/>
      <c r="G316" s="318" t="str">
        <f>IF($D$315="","",G310)</f>
        <v/>
      </c>
      <c r="H316" s="319"/>
      <c r="I316" s="318" t="str">
        <f>IF($D$315="","",I310)</f>
        <v/>
      </c>
      <c r="J316" s="319"/>
      <c r="K316" s="427" t="str">
        <f t="shared" ref="K316:K320" si="28">IF(D316="","",IF(I316&lt;1,0,ROUND(G316/I316,2)))</f>
        <v/>
      </c>
      <c r="L316" s="428"/>
      <c r="M316" s="431"/>
      <c r="N316" s="432"/>
      <c r="O316" s="318" t="str">
        <f>IF($D$315="","",O310)</f>
        <v/>
      </c>
      <c r="P316" s="319"/>
      <c r="Q316" s="318" t="str">
        <f>IF($D$315="","",Q310)</f>
        <v/>
      </c>
      <c r="R316" s="319"/>
      <c r="S316" s="427" t="str">
        <f t="shared" ref="S316:S320" si="29">IF(D316="","",IF(Q316&lt;1,0,ROUND(O316/Q316,2)))</f>
        <v/>
      </c>
      <c r="T316" s="428"/>
      <c r="U316" s="431"/>
      <c r="V316" s="432"/>
      <c r="W316" s="438"/>
      <c r="X316" s="439"/>
      <c r="Y316" s="440"/>
    </row>
    <row r="317" spans="2:27" ht="17.25" customHeight="1" x14ac:dyDescent="0.15">
      <c r="B317" s="379"/>
      <c r="C317" s="380"/>
      <c r="D317" s="444" t="str">
        <f>IF(OR($Z$308="非該当",$Z$308="算出不能"),DATE(YEAR($I$27)-3,MONTH($I$27),DAY($I$27)),"")</f>
        <v/>
      </c>
      <c r="E317" s="445"/>
      <c r="F317" s="446"/>
      <c r="G317" s="318"/>
      <c r="H317" s="319"/>
      <c r="I317" s="318"/>
      <c r="J317" s="319"/>
      <c r="K317" s="427" t="str">
        <f t="shared" si="28"/>
        <v/>
      </c>
      <c r="L317" s="428"/>
      <c r="M317" s="433"/>
      <c r="N317" s="434"/>
      <c r="O317" s="318"/>
      <c r="P317" s="319"/>
      <c r="Q317" s="318"/>
      <c r="R317" s="319"/>
      <c r="S317" s="427" t="str">
        <f t="shared" si="29"/>
        <v/>
      </c>
      <c r="T317" s="428"/>
      <c r="U317" s="433"/>
      <c r="V317" s="434"/>
      <c r="W317" s="441"/>
      <c r="X317" s="442"/>
      <c r="Y317" s="443"/>
    </row>
    <row r="318" spans="2:27" ht="17.25" customHeight="1" x14ac:dyDescent="0.15">
      <c r="B318" s="375" t="s">
        <v>46</v>
      </c>
      <c r="C318" s="376"/>
      <c r="D318" s="444" t="str">
        <f>IF(OR($Z$308="非該当",$Z$308="算出不能"),DATE(YEAR($I$27)-2,MONTH($I$27),DAY($I$27)),"")</f>
        <v/>
      </c>
      <c r="E318" s="445"/>
      <c r="F318" s="446"/>
      <c r="G318" s="447" t="str">
        <f>IF($D$318="","",G316)</f>
        <v/>
      </c>
      <c r="H318" s="448"/>
      <c r="I318" s="447" t="str">
        <f>IF($D$318="","",I316)</f>
        <v/>
      </c>
      <c r="J318" s="448"/>
      <c r="K318" s="427" t="str">
        <f t="shared" si="28"/>
        <v/>
      </c>
      <c r="L318" s="428"/>
      <c r="M318" s="429" t="str">
        <f>IF(D318="","",ROUND(SUM(K318:L320)/3,3))</f>
        <v/>
      </c>
      <c r="N318" s="430"/>
      <c r="O318" s="447" t="str">
        <f>IF($D$318="","",O316)</f>
        <v/>
      </c>
      <c r="P318" s="448"/>
      <c r="Q318" s="447" t="str">
        <f>IF($D$318="","",Q316)</f>
        <v/>
      </c>
      <c r="R318" s="448"/>
      <c r="S318" s="427" t="str">
        <f t="shared" si="29"/>
        <v/>
      </c>
      <c r="T318" s="428"/>
      <c r="U318" s="429" t="str">
        <f>IF(D318="","",ROUND(SUM(S318:T320)/3,3))</f>
        <v/>
      </c>
      <c r="V318" s="430"/>
      <c r="W318" s="435" t="str">
        <f>IF(D318="","",IF(U318=0,0,ROUND(M318/U318,2)))</f>
        <v/>
      </c>
      <c r="X318" s="436"/>
      <c r="Y318" s="437"/>
    </row>
    <row r="319" spans="2:27" ht="17.25" customHeight="1" x14ac:dyDescent="0.15">
      <c r="B319" s="377"/>
      <c r="C319" s="378"/>
      <c r="D319" s="444" t="str">
        <f>IF(OR($Z$308="非該当",$Z$308="算出不能"),DATE(YEAR($I$27)-3,MONTH($I$27),DAY($I$27)),"")</f>
        <v/>
      </c>
      <c r="E319" s="445"/>
      <c r="F319" s="446"/>
      <c r="G319" s="314" t="str">
        <f>IF($D$318="","",G317)</f>
        <v/>
      </c>
      <c r="H319" s="315"/>
      <c r="I319" s="314" t="str">
        <f>IF($D$318="","",I317)</f>
        <v/>
      </c>
      <c r="J319" s="315"/>
      <c r="K319" s="427" t="str">
        <f t="shared" si="28"/>
        <v/>
      </c>
      <c r="L319" s="428"/>
      <c r="M319" s="431"/>
      <c r="N319" s="432"/>
      <c r="O319" s="314" t="str">
        <f>IF($D$318="","",O317)</f>
        <v/>
      </c>
      <c r="P319" s="315"/>
      <c r="Q319" s="314" t="str">
        <f>IF($D$318="","",Q317)</f>
        <v/>
      </c>
      <c r="R319" s="315"/>
      <c r="S319" s="427" t="str">
        <f t="shared" si="29"/>
        <v/>
      </c>
      <c r="T319" s="428"/>
      <c r="U319" s="431"/>
      <c r="V319" s="432"/>
      <c r="W319" s="438"/>
      <c r="X319" s="439"/>
      <c r="Y319" s="440"/>
    </row>
    <row r="320" spans="2:27" ht="17.25" customHeight="1" x14ac:dyDescent="0.15">
      <c r="B320" s="379"/>
      <c r="C320" s="380"/>
      <c r="D320" s="444" t="str">
        <f>IF(OR($Z$308="非該当",$Z$308="算出不能"),DATE(YEAR($I$27)-4,MONTH($I$27),DAY($I$27)),"")</f>
        <v/>
      </c>
      <c r="E320" s="445"/>
      <c r="F320" s="446"/>
      <c r="G320" s="318"/>
      <c r="H320" s="319"/>
      <c r="I320" s="318"/>
      <c r="J320" s="319"/>
      <c r="K320" s="427" t="str">
        <f t="shared" si="28"/>
        <v/>
      </c>
      <c r="L320" s="428"/>
      <c r="M320" s="433"/>
      <c r="N320" s="434"/>
      <c r="O320" s="318"/>
      <c r="P320" s="319"/>
      <c r="Q320" s="318"/>
      <c r="R320" s="319"/>
      <c r="S320" s="427" t="str">
        <f t="shared" si="29"/>
        <v/>
      </c>
      <c r="T320" s="428"/>
      <c r="U320" s="433"/>
      <c r="V320" s="434"/>
      <c r="W320" s="441"/>
      <c r="X320" s="442"/>
      <c r="Y320" s="443"/>
    </row>
    <row r="321" spans="2:27" ht="17.25" customHeight="1" x14ac:dyDescent="0.15"/>
    <row r="322" spans="2:27" ht="30.75" customHeight="1" x14ac:dyDescent="0.15">
      <c r="B322" s="2" t="s">
        <v>203</v>
      </c>
      <c r="H322" s="2"/>
      <c r="AA322" s="169" t="str">
        <f>IF(G$23="","",G$23)</f>
        <v/>
      </c>
    </row>
    <row r="323" spans="2:27" s="3" customFormat="1" ht="17.25" customHeight="1" x14ac:dyDescent="0.15">
      <c r="B323" s="372" t="s">
        <v>151</v>
      </c>
      <c r="C323" s="373"/>
      <c r="D323" s="373"/>
      <c r="E323" s="373"/>
      <c r="F323" s="373"/>
      <c r="G323" s="373"/>
      <c r="H323" s="373"/>
      <c r="I323" s="373"/>
      <c r="J323" s="373"/>
      <c r="K323" s="373"/>
      <c r="L323" s="373"/>
      <c r="M323" s="373"/>
      <c r="N323" s="373"/>
      <c r="O323" s="373"/>
      <c r="P323" s="373"/>
      <c r="Q323" s="373"/>
      <c r="R323" s="373"/>
      <c r="S323" s="373"/>
      <c r="T323" s="373"/>
      <c r="U323" s="373"/>
      <c r="V323" s="373"/>
      <c r="W323" s="373"/>
      <c r="X323" s="373"/>
      <c r="Y323" s="373"/>
      <c r="Z323" s="373"/>
      <c r="AA323" s="374"/>
    </row>
    <row r="324" spans="2:27" s="13" customFormat="1" ht="17.25" customHeight="1" x14ac:dyDescent="0.15">
      <c r="B324" s="354" t="s">
        <v>137</v>
      </c>
      <c r="C324" s="355"/>
      <c r="D324" s="355"/>
      <c r="E324" s="355"/>
      <c r="F324" s="355"/>
      <c r="G324" s="355"/>
      <c r="H324" s="355"/>
      <c r="I324" s="355"/>
      <c r="J324" s="355"/>
      <c r="K324" s="355"/>
      <c r="L324" s="355"/>
      <c r="M324" s="355"/>
      <c r="N324" s="355"/>
      <c r="O324" s="355"/>
      <c r="P324" s="355"/>
      <c r="Q324" s="355"/>
      <c r="R324" s="355"/>
      <c r="S324" s="355"/>
      <c r="T324" s="355"/>
      <c r="U324" s="355"/>
      <c r="V324" s="355"/>
      <c r="W324" s="355"/>
      <c r="X324" s="355"/>
      <c r="Y324" s="355"/>
      <c r="Z324" s="355"/>
      <c r="AA324" s="356"/>
    </row>
    <row r="325" spans="2:27" ht="17.25" customHeight="1" x14ac:dyDescent="0.15">
      <c r="B325" s="357" t="s">
        <v>138</v>
      </c>
      <c r="C325" s="358"/>
      <c r="D325" s="358"/>
      <c r="E325" s="358"/>
      <c r="F325" s="358"/>
      <c r="G325" s="358"/>
      <c r="H325" s="358"/>
      <c r="I325" s="358"/>
      <c r="J325" s="358"/>
      <c r="K325" s="358"/>
      <c r="L325" s="358"/>
      <c r="M325" s="358"/>
      <c r="N325" s="358"/>
      <c r="O325" s="358"/>
      <c r="P325" s="358"/>
      <c r="Q325" s="358"/>
      <c r="R325" s="358"/>
      <c r="S325" s="358"/>
      <c r="T325" s="358"/>
      <c r="U325" s="358"/>
      <c r="V325" s="358"/>
      <c r="W325" s="358"/>
      <c r="X325" s="358"/>
      <c r="Y325" s="358"/>
      <c r="Z325" s="358"/>
      <c r="AA325" s="359"/>
    </row>
    <row r="326" spans="2:27" ht="17.25" customHeight="1" x14ac:dyDescent="0.15">
      <c r="B326" s="357" t="s">
        <v>139</v>
      </c>
      <c r="C326" s="358"/>
      <c r="D326" s="358"/>
      <c r="E326" s="358"/>
      <c r="F326" s="358"/>
      <c r="G326" s="358"/>
      <c r="H326" s="358"/>
      <c r="I326" s="358"/>
      <c r="J326" s="358"/>
      <c r="K326" s="358"/>
      <c r="L326" s="358"/>
      <c r="M326" s="358"/>
      <c r="N326" s="358"/>
      <c r="O326" s="358"/>
      <c r="P326" s="358"/>
      <c r="Q326" s="358"/>
      <c r="R326" s="358"/>
      <c r="S326" s="358"/>
      <c r="T326" s="358"/>
      <c r="U326" s="358"/>
      <c r="V326" s="358"/>
      <c r="W326" s="358"/>
      <c r="X326" s="358"/>
      <c r="Y326" s="358"/>
      <c r="Z326" s="358"/>
      <c r="AA326" s="359"/>
    </row>
    <row r="327" spans="2:27" ht="17.25" customHeight="1" x14ac:dyDescent="0.15">
      <c r="B327" s="357" t="s">
        <v>140</v>
      </c>
      <c r="C327" s="358"/>
      <c r="D327" s="358"/>
      <c r="E327" s="358"/>
      <c r="F327" s="358"/>
      <c r="G327" s="358"/>
      <c r="H327" s="358"/>
      <c r="I327" s="358"/>
      <c r="J327" s="358"/>
      <c r="K327" s="358"/>
      <c r="L327" s="358"/>
      <c r="M327" s="358"/>
      <c r="N327" s="358"/>
      <c r="O327" s="358"/>
      <c r="P327" s="358"/>
      <c r="Q327" s="358"/>
      <c r="R327" s="358"/>
      <c r="S327" s="358"/>
      <c r="T327" s="358"/>
      <c r="U327" s="358"/>
      <c r="V327" s="358"/>
      <c r="W327" s="358"/>
      <c r="X327" s="358"/>
      <c r="Y327" s="358"/>
      <c r="Z327" s="358"/>
      <c r="AA327" s="359"/>
    </row>
    <row r="328" spans="2:27" ht="17.25" customHeight="1" x14ac:dyDescent="0.15">
      <c r="B328" s="360" t="s">
        <v>141</v>
      </c>
      <c r="C328" s="361"/>
      <c r="D328" s="361"/>
      <c r="E328" s="361"/>
      <c r="F328" s="361"/>
      <c r="G328" s="361"/>
      <c r="H328" s="361"/>
      <c r="I328" s="361"/>
      <c r="J328" s="361"/>
      <c r="K328" s="361"/>
      <c r="L328" s="361"/>
      <c r="M328" s="361"/>
      <c r="N328" s="361"/>
      <c r="O328" s="361"/>
      <c r="P328" s="361"/>
      <c r="Q328" s="361"/>
      <c r="R328" s="361"/>
      <c r="S328" s="361"/>
      <c r="T328" s="361"/>
      <c r="U328" s="361"/>
      <c r="V328" s="361"/>
      <c r="W328" s="361"/>
      <c r="X328" s="361"/>
      <c r="Y328" s="361"/>
      <c r="Z328" s="361"/>
      <c r="AA328" s="362"/>
    </row>
    <row r="329" spans="2:27" ht="17.25" customHeight="1" x14ac:dyDescent="0.15"/>
    <row r="330" spans="2:27" ht="17.25" customHeight="1" thickBot="1" x14ac:dyDescent="0.2">
      <c r="B330" s="18" t="s">
        <v>34</v>
      </c>
      <c r="V330" s="15"/>
      <c r="W330" s="15"/>
      <c r="X330" s="15"/>
      <c r="Y330" s="15"/>
    </row>
    <row r="331" spans="2:27" s="9" customFormat="1" ht="47.25" customHeight="1" thickTop="1" x14ac:dyDescent="0.15">
      <c r="B331" s="366" t="s">
        <v>68</v>
      </c>
      <c r="C331" s="367"/>
      <c r="D331" s="367"/>
      <c r="E331" s="367"/>
      <c r="F331" s="368"/>
      <c r="G331" s="409" t="s">
        <v>219</v>
      </c>
      <c r="H331" s="410"/>
      <c r="I331" s="410"/>
      <c r="J331" s="411"/>
      <c r="K331" s="409" t="s">
        <v>142</v>
      </c>
      <c r="L331" s="410"/>
      <c r="M331" s="410"/>
      <c r="N331" s="411"/>
      <c r="O331" s="409" t="s">
        <v>143</v>
      </c>
      <c r="P331" s="410"/>
      <c r="Q331" s="410"/>
      <c r="R331" s="411"/>
      <c r="S331" s="409" t="s">
        <v>144</v>
      </c>
      <c r="T331" s="410"/>
      <c r="U331" s="410"/>
      <c r="V331" s="411"/>
      <c r="W331" s="366" t="s">
        <v>54</v>
      </c>
      <c r="X331" s="367"/>
      <c r="Y331" s="367"/>
      <c r="Z331" s="419" t="s">
        <v>36</v>
      </c>
      <c r="AA331" s="420"/>
    </row>
    <row r="332" spans="2:27" ht="17.25" customHeight="1" x14ac:dyDescent="0.15">
      <c r="B332" s="363" t="str">
        <f>IF($I$27="","",$I$27)</f>
        <v/>
      </c>
      <c r="C332" s="364"/>
      <c r="D332" s="364"/>
      <c r="E332" s="364"/>
      <c r="F332" s="365"/>
      <c r="G332" s="913"/>
      <c r="H332" s="914"/>
      <c r="I332" s="914"/>
      <c r="J332" s="915"/>
      <c r="K332" s="913"/>
      <c r="L332" s="914"/>
      <c r="M332" s="914"/>
      <c r="N332" s="915"/>
      <c r="O332" s="913"/>
      <c r="P332" s="914"/>
      <c r="Q332" s="914"/>
      <c r="R332" s="915"/>
      <c r="S332" s="913"/>
      <c r="T332" s="914"/>
      <c r="U332" s="914"/>
      <c r="V332" s="915"/>
      <c r="W332" s="406" t="str">
        <f>IF(B332="","",SUM(G332:V332))</f>
        <v/>
      </c>
      <c r="X332" s="407"/>
      <c r="Y332" s="407"/>
      <c r="Z332" s="421"/>
      <c r="AA332" s="422"/>
    </row>
    <row r="333" spans="2:27" ht="17.25" customHeight="1" x14ac:dyDescent="0.15">
      <c r="B333" s="363" t="str">
        <f>IF($I$27="","",DATE(YEAR($I$27)-1,MONTH($I$27),DAY($I$27)))</f>
        <v/>
      </c>
      <c r="C333" s="364"/>
      <c r="D333" s="364"/>
      <c r="E333" s="364"/>
      <c r="F333" s="365"/>
      <c r="G333" s="913"/>
      <c r="H333" s="914"/>
      <c r="I333" s="914"/>
      <c r="J333" s="915"/>
      <c r="K333" s="913"/>
      <c r="L333" s="914"/>
      <c r="M333" s="914"/>
      <c r="N333" s="915"/>
      <c r="O333" s="913"/>
      <c r="P333" s="914"/>
      <c r="Q333" s="914"/>
      <c r="R333" s="915"/>
      <c r="S333" s="913"/>
      <c r="T333" s="914"/>
      <c r="U333" s="914"/>
      <c r="V333" s="915"/>
      <c r="W333" s="406" t="str">
        <f>IF(B333="","",SUM(G333:V333))</f>
        <v/>
      </c>
      <c r="X333" s="407"/>
      <c r="Y333" s="407"/>
      <c r="Z333" s="423"/>
      <c r="AA333" s="424"/>
    </row>
    <row r="334" spans="2:27" ht="17.25" customHeight="1" thickBot="1" x14ac:dyDescent="0.2">
      <c r="B334" s="363" t="str">
        <f>IF($I$27="","",DATE(YEAR($I$27)-2,MONTH($I$27),DAY($I$27)))</f>
        <v/>
      </c>
      <c r="C334" s="364"/>
      <c r="D334" s="364"/>
      <c r="E334" s="364"/>
      <c r="F334" s="365"/>
      <c r="G334" s="913"/>
      <c r="H334" s="914"/>
      <c r="I334" s="914"/>
      <c r="J334" s="915"/>
      <c r="K334" s="913"/>
      <c r="L334" s="914"/>
      <c r="M334" s="914"/>
      <c r="N334" s="915"/>
      <c r="O334" s="913"/>
      <c r="P334" s="914"/>
      <c r="Q334" s="914"/>
      <c r="R334" s="915"/>
      <c r="S334" s="913"/>
      <c r="T334" s="914"/>
      <c r="U334" s="914"/>
      <c r="V334" s="915"/>
      <c r="W334" s="417" t="str">
        <f>IF(B334="","",SUM(G334:V334))</f>
        <v/>
      </c>
      <c r="X334" s="418"/>
      <c r="Y334" s="418"/>
      <c r="Z334" s="423"/>
      <c r="AA334" s="424"/>
    </row>
    <row r="335" spans="2:27" ht="17.25" customHeight="1" thickTop="1" thickBot="1" x14ac:dyDescent="0.2">
      <c r="B335" s="412" t="s">
        <v>42</v>
      </c>
      <c r="C335" s="413"/>
      <c r="D335" s="413"/>
      <c r="E335" s="413"/>
      <c r="F335" s="414"/>
      <c r="G335" s="369" t="str">
        <f>IF($B$332="","",SUM(G332:J334))</f>
        <v/>
      </c>
      <c r="H335" s="370"/>
      <c r="I335" s="370"/>
      <c r="J335" s="916"/>
      <c r="K335" s="369" t="str">
        <f>IF($B$332="","",SUM(K332:N334))</f>
        <v/>
      </c>
      <c r="L335" s="370"/>
      <c r="M335" s="370"/>
      <c r="N335" s="916"/>
      <c r="O335" s="369" t="str">
        <f>IF($B$332="","",SUM(O332:R334))</f>
        <v/>
      </c>
      <c r="P335" s="370"/>
      <c r="Q335" s="370"/>
      <c r="R335" s="916"/>
      <c r="S335" s="369" t="str">
        <f>IF($B$332="","",SUM(S332:V334))</f>
        <v/>
      </c>
      <c r="T335" s="370"/>
      <c r="U335" s="370"/>
      <c r="V335" s="371"/>
      <c r="W335" s="415" t="str">
        <f>IF($B$332="","Ａ　　　　",SUM(W332:Y334))</f>
        <v>Ａ　　　　</v>
      </c>
      <c r="X335" s="416"/>
      <c r="Y335" s="416"/>
      <c r="Z335" s="425"/>
      <c r="AA335" s="426"/>
    </row>
    <row r="336" spans="2:27" ht="17.25" customHeight="1" thickTop="1" x14ac:dyDescent="0.15">
      <c r="W336" s="35"/>
      <c r="X336" s="15"/>
      <c r="Y336" s="15"/>
      <c r="AA336" s="35" t="str">
        <f>IF(G23="","",IF(Z332="","リストから選択↑　",""))</f>
        <v/>
      </c>
    </row>
    <row r="337" spans="2:27" ht="17.25" customHeight="1" x14ac:dyDescent="0.15">
      <c r="B337" s="9" t="s">
        <v>177</v>
      </c>
    </row>
    <row r="338" spans="2:27" s="9" customFormat="1" ht="47.25" customHeight="1" x14ac:dyDescent="0.15">
      <c r="B338" s="409" t="s">
        <v>69</v>
      </c>
      <c r="C338" s="410"/>
      <c r="D338" s="410"/>
      <c r="E338" s="410"/>
      <c r="F338" s="411"/>
      <c r="G338" s="409" t="s">
        <v>219</v>
      </c>
      <c r="H338" s="410"/>
      <c r="I338" s="410"/>
      <c r="J338" s="411"/>
      <c r="K338" s="409" t="s">
        <v>142</v>
      </c>
      <c r="L338" s="410"/>
      <c r="M338" s="410"/>
      <c r="N338" s="411"/>
      <c r="O338" s="409" t="s">
        <v>143</v>
      </c>
      <c r="P338" s="410"/>
      <c r="Q338" s="410"/>
      <c r="R338" s="411"/>
      <c r="S338" s="409" t="s">
        <v>144</v>
      </c>
      <c r="T338" s="410"/>
      <c r="U338" s="410"/>
      <c r="V338" s="411"/>
      <c r="W338" s="366" t="s">
        <v>54</v>
      </c>
      <c r="X338" s="367"/>
      <c r="Y338" s="368"/>
      <c r="Z338" s="1"/>
      <c r="AA338" s="1"/>
    </row>
    <row r="339" spans="2:27" ht="17.25" customHeight="1" x14ac:dyDescent="0.15">
      <c r="B339" s="403" t="str">
        <f>IF($Z$332="非該当",DATE(YEAR($I$27)-3,MONTH($I$27),DAY($I$27)),"")</f>
        <v/>
      </c>
      <c r="C339" s="404"/>
      <c r="D339" s="404"/>
      <c r="E339" s="404"/>
      <c r="F339" s="405"/>
      <c r="G339" s="917"/>
      <c r="H339" s="918"/>
      <c r="I339" s="918"/>
      <c r="J339" s="919"/>
      <c r="K339" s="917"/>
      <c r="L339" s="918"/>
      <c r="M339" s="918"/>
      <c r="N339" s="919"/>
      <c r="O339" s="917"/>
      <c r="P339" s="918"/>
      <c r="Q339" s="918"/>
      <c r="R339" s="919"/>
      <c r="S339" s="917"/>
      <c r="T339" s="918"/>
      <c r="U339" s="918"/>
      <c r="V339" s="919"/>
      <c r="W339" s="406" t="str">
        <f>IF(B339="","",SUM(G339:V339))</f>
        <v/>
      </c>
      <c r="X339" s="407"/>
      <c r="Y339" s="408"/>
    </row>
    <row r="340" spans="2:27" ht="17.25" customHeight="1" x14ac:dyDescent="0.15">
      <c r="B340" s="403" t="str">
        <f>IF($Z$332="非該当",DATE(YEAR($I$27)-4,MONTH($I$27),DAY($I$27)),"")</f>
        <v/>
      </c>
      <c r="C340" s="404"/>
      <c r="D340" s="404"/>
      <c r="E340" s="404"/>
      <c r="F340" s="405"/>
      <c r="G340" s="917"/>
      <c r="H340" s="918"/>
      <c r="I340" s="918"/>
      <c r="J340" s="919"/>
      <c r="K340" s="917"/>
      <c r="L340" s="918"/>
      <c r="M340" s="918"/>
      <c r="N340" s="919"/>
      <c r="O340" s="917"/>
      <c r="P340" s="918"/>
      <c r="Q340" s="918"/>
      <c r="R340" s="919"/>
      <c r="S340" s="917"/>
      <c r="T340" s="918"/>
      <c r="U340" s="918"/>
      <c r="V340" s="919"/>
      <c r="W340" s="406" t="str">
        <f>IF(B340="","",SUM(G340:V340))</f>
        <v/>
      </c>
      <c r="X340" s="407"/>
      <c r="Y340" s="408"/>
    </row>
    <row r="341" spans="2:27" ht="17.25" customHeight="1" x14ac:dyDescent="0.15"/>
    <row r="342" spans="2:27" ht="17.25" customHeight="1" x14ac:dyDescent="0.15">
      <c r="B342" s="1" t="s">
        <v>205</v>
      </c>
      <c r="Y342" s="12"/>
      <c r="AA342" s="169" t="str">
        <f>IF(G$23="","",G$23)</f>
        <v/>
      </c>
    </row>
    <row r="343" spans="2:27" ht="17.25" customHeight="1" x14ac:dyDescent="0.15">
      <c r="B343" s="9" t="s">
        <v>232</v>
      </c>
    </row>
    <row r="344" spans="2:27" ht="27.75" customHeight="1" x14ac:dyDescent="0.15">
      <c r="C344" s="606" t="s">
        <v>247</v>
      </c>
      <c r="D344" s="606"/>
      <c r="E344" s="606"/>
      <c r="F344" s="606"/>
      <c r="G344" s="606"/>
      <c r="H344" s="606"/>
      <c r="I344" s="606"/>
      <c r="J344" s="606"/>
      <c r="K344" s="606"/>
      <c r="L344" s="606"/>
      <c r="M344" s="606"/>
      <c r="N344" s="606"/>
      <c r="O344" s="606"/>
      <c r="P344" s="606"/>
      <c r="Q344" s="606"/>
      <c r="R344" s="606"/>
      <c r="S344" s="606"/>
      <c r="T344" s="606"/>
      <c r="U344" s="606"/>
      <c r="V344" s="606"/>
      <c r="W344" s="606"/>
      <c r="X344" s="606"/>
      <c r="Y344" s="606"/>
      <c r="Z344" s="606"/>
    </row>
    <row r="345" spans="2:27" ht="17.25" customHeight="1" thickBot="1" x14ac:dyDescent="0.2">
      <c r="I345" s="329" t="s">
        <v>40</v>
      </c>
      <c r="J345" s="330"/>
      <c r="K345" s="330"/>
      <c r="L345" s="330"/>
      <c r="M345" s="330"/>
      <c r="N345" s="330"/>
      <c r="O345" s="330"/>
      <c r="P345" s="331"/>
      <c r="Q345" s="329" t="s">
        <v>41</v>
      </c>
      <c r="R345" s="330"/>
      <c r="S345" s="330"/>
      <c r="T345" s="330"/>
      <c r="U345" s="330"/>
      <c r="V345" s="330"/>
      <c r="W345" s="330"/>
      <c r="X345" s="331"/>
    </row>
    <row r="346" spans="2:27" s="9" customFormat="1" ht="40.5" customHeight="1" thickBot="1" x14ac:dyDescent="0.2">
      <c r="B346" s="332" t="s">
        <v>0</v>
      </c>
      <c r="C346" s="333"/>
      <c r="D346" s="334"/>
      <c r="E346" s="64"/>
      <c r="F346" s="335" t="s">
        <v>230</v>
      </c>
      <c r="G346" s="336"/>
      <c r="H346" s="337"/>
      <c r="I346" s="338" t="s">
        <v>221</v>
      </c>
      <c r="J346" s="339"/>
      <c r="K346" s="340" t="s">
        <v>180</v>
      </c>
      <c r="L346" s="341"/>
      <c r="M346" s="341"/>
      <c r="N346" s="342"/>
      <c r="O346" s="338" t="s">
        <v>181</v>
      </c>
      <c r="P346" s="337"/>
      <c r="Q346" s="338" t="s">
        <v>221</v>
      </c>
      <c r="R346" s="343"/>
      <c r="S346" s="340" t="s">
        <v>180</v>
      </c>
      <c r="T346" s="341"/>
      <c r="U346" s="341"/>
      <c r="V346" s="342"/>
      <c r="W346" s="338" t="s">
        <v>182</v>
      </c>
      <c r="X346" s="336"/>
      <c r="Y346" s="338" t="s">
        <v>169</v>
      </c>
      <c r="Z346" s="339"/>
      <c r="AA346" s="344"/>
    </row>
    <row r="347" spans="2:27" s="9" customFormat="1" ht="16.5" customHeight="1" x14ac:dyDescent="0.15">
      <c r="B347" s="345"/>
      <c r="C347" s="346"/>
      <c r="D347" s="347"/>
      <c r="E347" s="28" t="str">
        <f>IF(B347="","",B347&amp;F347)</f>
        <v/>
      </c>
      <c r="F347" s="293" t="str">
        <f>IF(AND($W$165="非該当",$B$347&lt;&gt;""),DATE(YEAR($I$27)-9,MONTH($I$27),DAY($I$27)),"")</f>
        <v/>
      </c>
      <c r="G347" s="294"/>
      <c r="H347" s="295"/>
      <c r="I347" s="296" t="str">
        <f>IF($B$347="","",VLOOKUP($E347,$E$153:$T$164,5,FALSE))</f>
        <v/>
      </c>
      <c r="J347" s="297"/>
      <c r="K347" s="298" t="str">
        <f>IF(B$347="","",P16)</f>
        <v/>
      </c>
      <c r="L347" s="299"/>
      <c r="M347" s="296" t="str">
        <f>IF($B$347="","",VLOOKUP($E347,$E$153:$T$164,7,FALSE))</f>
        <v/>
      </c>
      <c r="N347" s="297"/>
      <c r="O347" s="302" t="str">
        <f>IF(B$347="","",IF(I350&lt;1,"－",ROUND(M350/I350,3)))</f>
        <v/>
      </c>
      <c r="P347" s="303"/>
      <c r="Q347" s="296" t="str">
        <f>IF($B$347="","",VLOOKUP($E347,$E$153:$T$164,12,FALSE))</f>
        <v/>
      </c>
      <c r="R347" s="297"/>
      <c r="S347" s="298" t="str">
        <f>IF(B$347="","",P16)</f>
        <v/>
      </c>
      <c r="T347" s="299"/>
      <c r="U347" s="296" t="str">
        <f>IF($B$347="","",VLOOKUP($E347,$E$153:$T$164,14,FALSE))</f>
        <v/>
      </c>
      <c r="V347" s="297"/>
      <c r="W347" s="302" t="str">
        <f>IF(B$347="","",IF(Q350&lt;1,"－",ROUND(U350/Q350,3)))</f>
        <v/>
      </c>
      <c r="X347" s="303"/>
      <c r="Y347" s="308" t="s">
        <v>170</v>
      </c>
      <c r="Z347" s="309"/>
      <c r="AA347" s="310"/>
    </row>
    <row r="348" spans="2:27" s="9" customFormat="1" ht="16.5" customHeight="1" x14ac:dyDescent="0.15">
      <c r="B348" s="348"/>
      <c r="C348" s="349"/>
      <c r="D348" s="350"/>
      <c r="E348" s="28" t="str">
        <f>IF(B347="","",B347&amp;F348)</f>
        <v/>
      </c>
      <c r="F348" s="311" t="str">
        <f>IF(AND($W$165="非該当",$B$347&lt;&gt;""),DATE(YEAR($I$27)-10,MONTH($I$27),DAY($I$27)),"　　　　★")</f>
        <v>　　　　★</v>
      </c>
      <c r="G348" s="312"/>
      <c r="H348" s="313"/>
      <c r="I348" s="314" t="str">
        <f>IF($B$347="","",VLOOKUP($E348,$E$153:$T$164,5,FALSE))</f>
        <v/>
      </c>
      <c r="J348" s="315"/>
      <c r="K348" s="316" t="str">
        <f>IF(B$347="","★の10事業年度後在職者数","事業年度在職者数")</f>
        <v>★の10事業年度後在職者数</v>
      </c>
      <c r="L348" s="317"/>
      <c r="M348" s="314" t="str">
        <f>IF($B$347="","",VLOOKUP($E348,$E$153:$T$164,7,FALSE))</f>
        <v/>
      </c>
      <c r="N348" s="315"/>
      <c r="O348" s="304"/>
      <c r="P348" s="305"/>
      <c r="Q348" s="314" t="str">
        <f>IF($B$347="","",VLOOKUP($E348,$E$153:$T$164,12,FALSE))</f>
        <v/>
      </c>
      <c r="R348" s="315"/>
      <c r="S348" s="316" t="str">
        <f>IF(B$347="","★の10事業年度後在職者数","事業年度在職者数")</f>
        <v>★の10事業年度後在職者数</v>
      </c>
      <c r="T348" s="317"/>
      <c r="U348" s="314" t="str">
        <f>IF($B$347="","",VLOOKUP($E348,$E$153:$T$164,14,FALSE))</f>
        <v/>
      </c>
      <c r="V348" s="315"/>
      <c r="W348" s="304"/>
      <c r="X348" s="305"/>
      <c r="Y348" s="320" t="str">
        <f>IF(B$347="","",IF(OR(O347="－",W347="－",W347=0),"－",ROUND(O347/W347,2)))</f>
        <v/>
      </c>
      <c r="Z348" s="321"/>
      <c r="AA348" s="322"/>
    </row>
    <row r="349" spans="2:27" s="9" customFormat="1" ht="16.5" customHeight="1" x14ac:dyDescent="0.15">
      <c r="B349" s="348"/>
      <c r="C349" s="349"/>
      <c r="D349" s="350"/>
      <c r="E349" s="28" t="str">
        <f>IF(B347="","",B347&amp;F349)</f>
        <v/>
      </c>
      <c r="F349" s="323" t="str">
        <f>IF(AND($W$165="非該当",$B$347&lt;&gt;""),DATE(YEAR($I$27)-11,MONTH($I$27),DAY($I$27)),"")</f>
        <v/>
      </c>
      <c r="G349" s="324"/>
      <c r="H349" s="325"/>
      <c r="I349" s="314" t="str">
        <f>IF($B$347="","",VLOOKUP($E349,$E$153:$T$164,5,FALSE))</f>
        <v/>
      </c>
      <c r="J349" s="315"/>
      <c r="K349" s="316"/>
      <c r="L349" s="317"/>
      <c r="M349" s="314" t="str">
        <f>IF($B$347="","",VLOOKUP($E349,$E$153:$T$164,7,FALSE))</f>
        <v/>
      </c>
      <c r="N349" s="315"/>
      <c r="O349" s="304"/>
      <c r="P349" s="305"/>
      <c r="Q349" s="314" t="str">
        <f>IF($B$347="","",VLOOKUP($E349,$E$153:$T$164,12,FALSE))</f>
        <v/>
      </c>
      <c r="R349" s="315"/>
      <c r="S349" s="316"/>
      <c r="T349" s="317"/>
      <c r="U349" s="314" t="str">
        <f>IF($B$347="","",VLOOKUP($E349,$E$153:$T$164,14,FALSE))</f>
        <v/>
      </c>
      <c r="V349" s="315"/>
      <c r="W349" s="304"/>
      <c r="X349" s="305"/>
      <c r="Y349" s="320"/>
      <c r="Z349" s="321"/>
      <c r="AA349" s="322"/>
    </row>
    <row r="350" spans="2:27" s="9" customFormat="1" ht="16.5" customHeight="1" thickBot="1" x14ac:dyDescent="0.2">
      <c r="B350" s="348"/>
      <c r="C350" s="349"/>
      <c r="D350" s="350"/>
      <c r="E350" s="93"/>
      <c r="F350" s="326" t="s">
        <v>15</v>
      </c>
      <c r="G350" s="327"/>
      <c r="H350" s="328"/>
      <c r="I350" s="288" t="str">
        <f>IF($B$347="","",SUM(I347:J349))</f>
        <v/>
      </c>
      <c r="J350" s="289"/>
      <c r="K350" s="151"/>
      <c r="L350" s="152"/>
      <c r="M350" s="288" t="str">
        <f>IF($B$347="","",SUM(M347:N349))</f>
        <v/>
      </c>
      <c r="N350" s="289"/>
      <c r="O350" s="306"/>
      <c r="P350" s="307"/>
      <c r="Q350" s="288" t="str">
        <f>IF($B$347="","",SUM(Q347:R349))</f>
        <v/>
      </c>
      <c r="R350" s="289"/>
      <c r="S350" s="151"/>
      <c r="T350" s="152"/>
      <c r="U350" s="288" t="str">
        <f>IF($B$347="","",SUM(U347:V349))</f>
        <v/>
      </c>
      <c r="V350" s="289"/>
      <c r="W350" s="306"/>
      <c r="X350" s="307"/>
      <c r="Y350" s="290"/>
      <c r="Z350" s="291"/>
      <c r="AA350" s="292"/>
    </row>
    <row r="351" spans="2:27" s="9" customFormat="1" ht="16.5" customHeight="1" x14ac:dyDescent="0.15">
      <c r="B351" s="348"/>
      <c r="C351" s="349"/>
      <c r="D351" s="350"/>
      <c r="E351" s="93"/>
      <c r="F351" s="293" t="str">
        <f>IF(AND($W$165="非該当",$B$347&lt;&gt;""),DATE(YEAR($I$27)-10,MONTH($I$27),DAY($I$27)),"")</f>
        <v/>
      </c>
      <c r="G351" s="294"/>
      <c r="H351" s="295"/>
      <c r="I351" s="296" t="str">
        <f>IF(I348="","",I348)</f>
        <v/>
      </c>
      <c r="J351" s="297"/>
      <c r="K351" s="298" t="str">
        <f>IF(B$347="","",P17)</f>
        <v/>
      </c>
      <c r="L351" s="299"/>
      <c r="M351" s="300"/>
      <c r="N351" s="301"/>
      <c r="O351" s="302" t="str">
        <f>IF(B$347="","",IF(I354&lt;1,"－",ROUND(M354/I354,3)))</f>
        <v/>
      </c>
      <c r="P351" s="303"/>
      <c r="Q351" s="296" t="str">
        <f>IF(Q348="","",Q348)</f>
        <v/>
      </c>
      <c r="R351" s="297"/>
      <c r="S351" s="298" t="str">
        <f>IF(B$347="","",P17)</f>
        <v/>
      </c>
      <c r="T351" s="299"/>
      <c r="U351" s="300"/>
      <c r="V351" s="301"/>
      <c r="W351" s="302" t="str">
        <f>IF(B$347="","",IF(Q354&lt;1,"－",ROUND(U354/Q354,3)))</f>
        <v/>
      </c>
      <c r="X351" s="303"/>
      <c r="Y351" s="308" t="s">
        <v>171</v>
      </c>
      <c r="Z351" s="309"/>
      <c r="AA351" s="310"/>
    </row>
    <row r="352" spans="2:27" s="9" customFormat="1" ht="16.5" customHeight="1" x14ac:dyDescent="0.15">
      <c r="B352" s="348"/>
      <c r="C352" s="349"/>
      <c r="D352" s="350"/>
      <c r="E352" s="28" t="str">
        <f>IF(B347="","",B347&amp;F352&amp;"その2")</f>
        <v/>
      </c>
      <c r="F352" s="311" t="str">
        <f>IF(AND($W$165="非該当",$B$347&lt;&gt;""),DATE(YEAR($I$27)-11,MONTH($I$27),DAY($I$27)),"　　　　★")</f>
        <v>　　　　★</v>
      </c>
      <c r="G352" s="312"/>
      <c r="H352" s="313"/>
      <c r="I352" s="314" t="str">
        <f>IF(I349="","",I349)</f>
        <v/>
      </c>
      <c r="J352" s="315"/>
      <c r="K352" s="316" t="str">
        <f>IF(B$347="","★の10事業年度後在職者数","事業年度在職者数")</f>
        <v>★の10事業年度後在職者数</v>
      </c>
      <c r="L352" s="317"/>
      <c r="M352" s="318"/>
      <c r="N352" s="319"/>
      <c r="O352" s="304"/>
      <c r="P352" s="305"/>
      <c r="Q352" s="314" t="str">
        <f>IF(Q349="","",Q349)</f>
        <v/>
      </c>
      <c r="R352" s="315"/>
      <c r="S352" s="316" t="str">
        <f>IF(B$347="","★の10事業年度後在職者数","事業年度在職者数")</f>
        <v>★の10事業年度後在職者数</v>
      </c>
      <c r="T352" s="317"/>
      <c r="U352" s="318"/>
      <c r="V352" s="319"/>
      <c r="W352" s="304"/>
      <c r="X352" s="305"/>
      <c r="Y352" s="320" t="str">
        <f>IF(B$347="","",IF(OR(O351="－",W351="－",W351=0),"－",ROUND(O351/W351,2)))</f>
        <v/>
      </c>
      <c r="Z352" s="321"/>
      <c r="AA352" s="322"/>
    </row>
    <row r="353" spans="2:28" s="9" customFormat="1" ht="16.5" customHeight="1" x14ac:dyDescent="0.15">
      <c r="B353" s="348"/>
      <c r="C353" s="349"/>
      <c r="D353" s="350"/>
      <c r="E353" s="93"/>
      <c r="F353" s="323" t="str">
        <f>IF(AND($W$165="非該当",$B$347&lt;&gt;""),DATE(YEAR($I$27)-12,MONTH($I$27),DAY($I$27)),"")</f>
        <v/>
      </c>
      <c r="G353" s="324"/>
      <c r="H353" s="325"/>
      <c r="I353" s="318"/>
      <c r="J353" s="319"/>
      <c r="K353" s="316"/>
      <c r="L353" s="317"/>
      <c r="M353" s="318"/>
      <c r="N353" s="319"/>
      <c r="O353" s="304"/>
      <c r="P353" s="305"/>
      <c r="Q353" s="318"/>
      <c r="R353" s="319"/>
      <c r="S353" s="316"/>
      <c r="T353" s="317"/>
      <c r="U353" s="318"/>
      <c r="V353" s="319"/>
      <c r="W353" s="304"/>
      <c r="X353" s="305"/>
      <c r="Y353" s="320"/>
      <c r="Z353" s="321"/>
      <c r="AA353" s="322"/>
    </row>
    <row r="354" spans="2:28" s="9" customFormat="1" ht="16.5" customHeight="1" thickBot="1" x14ac:dyDescent="0.2">
      <c r="B354" s="348"/>
      <c r="C354" s="349"/>
      <c r="D354" s="350"/>
      <c r="E354" s="93"/>
      <c r="F354" s="326" t="s">
        <v>15</v>
      </c>
      <c r="G354" s="327"/>
      <c r="H354" s="328"/>
      <c r="I354" s="288" t="str">
        <f>IF($B$347="","",SUM(I351:J353))</f>
        <v/>
      </c>
      <c r="J354" s="289"/>
      <c r="K354" s="151"/>
      <c r="L354" s="152"/>
      <c r="M354" s="288" t="str">
        <f>IF($B$347="","",SUM(M351:N353))</f>
        <v/>
      </c>
      <c r="N354" s="289"/>
      <c r="O354" s="306"/>
      <c r="P354" s="307"/>
      <c r="Q354" s="288" t="str">
        <f>IF($B$347="","",SUM(Q351:R353))</f>
        <v/>
      </c>
      <c r="R354" s="289"/>
      <c r="S354" s="150"/>
      <c r="T354" s="150"/>
      <c r="U354" s="288" t="str">
        <f>IF($B$347="","",SUM(U351:V353))</f>
        <v/>
      </c>
      <c r="V354" s="289"/>
      <c r="W354" s="306"/>
      <c r="X354" s="307"/>
      <c r="Y354" s="290"/>
      <c r="Z354" s="291"/>
      <c r="AA354" s="292"/>
    </row>
    <row r="355" spans="2:28" s="9" customFormat="1" ht="16.5" customHeight="1" x14ac:dyDescent="0.15">
      <c r="B355" s="348"/>
      <c r="C355" s="349"/>
      <c r="D355" s="350"/>
      <c r="E355" s="93"/>
      <c r="F355" s="293" t="str">
        <f>IF(AND($W$165="非該当",$B$347&lt;&gt;""),DATE(YEAR($I$27)-11,MONTH($I$27),DAY($I$27)),"")</f>
        <v/>
      </c>
      <c r="G355" s="294"/>
      <c r="H355" s="295"/>
      <c r="I355" s="296" t="str">
        <f>IF(I352="","",I352)</f>
        <v/>
      </c>
      <c r="J355" s="297"/>
      <c r="K355" s="298" t="str">
        <f>IF(B$347="","",P18)</f>
        <v/>
      </c>
      <c r="L355" s="299"/>
      <c r="M355" s="300"/>
      <c r="N355" s="301"/>
      <c r="O355" s="302" t="str">
        <f>IF(B$347="","",IF(I358&lt;1,"－",ROUND(M358/I358,3)))</f>
        <v/>
      </c>
      <c r="P355" s="303"/>
      <c r="Q355" s="296" t="str">
        <f>IF(Q352="","",Q352)</f>
        <v/>
      </c>
      <c r="R355" s="297"/>
      <c r="S355" s="298" t="str">
        <f>IF(B$347="","",P18)</f>
        <v/>
      </c>
      <c r="T355" s="299"/>
      <c r="U355" s="300"/>
      <c r="V355" s="301"/>
      <c r="W355" s="302" t="str">
        <f>IF(B$347="","",IF(Q358&lt;1,"－",ROUND(U358/Q358,3)))</f>
        <v/>
      </c>
      <c r="X355" s="303"/>
      <c r="Y355" s="308" t="s">
        <v>172</v>
      </c>
      <c r="Z355" s="309"/>
      <c r="AA355" s="310"/>
    </row>
    <row r="356" spans="2:28" s="9" customFormat="1" ht="16.5" customHeight="1" x14ac:dyDescent="0.15">
      <c r="B356" s="348"/>
      <c r="C356" s="349"/>
      <c r="D356" s="350"/>
      <c r="E356" s="28" t="str">
        <f>IF(B347="","",B347&amp;F356)</f>
        <v/>
      </c>
      <c r="F356" s="311" t="str">
        <f>IF(AND($W$165="非該当",$B$347&lt;&gt;""),DATE(YEAR($I$27)-12,MONTH($I$27),DAY($I$27)),"　　　　★")</f>
        <v>　　　　★</v>
      </c>
      <c r="G356" s="312"/>
      <c r="H356" s="313"/>
      <c r="I356" s="314" t="str">
        <f>IF(I353="","",I353)</f>
        <v/>
      </c>
      <c r="J356" s="315"/>
      <c r="K356" s="316" t="str">
        <f>IF(B$347="","★の10事業年度後在職者数","事業年度在職者数")</f>
        <v>★の10事業年度後在職者数</v>
      </c>
      <c r="L356" s="317"/>
      <c r="M356" s="318"/>
      <c r="N356" s="319"/>
      <c r="O356" s="304"/>
      <c r="P356" s="305"/>
      <c r="Q356" s="314" t="str">
        <f>IF(Q353="","",Q353)</f>
        <v/>
      </c>
      <c r="R356" s="315"/>
      <c r="S356" s="316" t="str">
        <f>IF(B$347="","★の10事業年度後在職者数","事業年度在職者数")</f>
        <v>★の10事業年度後在職者数</v>
      </c>
      <c r="T356" s="317"/>
      <c r="U356" s="318"/>
      <c r="V356" s="319"/>
      <c r="W356" s="304"/>
      <c r="X356" s="305"/>
      <c r="Y356" s="320" t="str">
        <f>IF(B$347="","",IF(OR(O355="－",W355="－",W355=0),"－",ROUND(O355/W355,2)))</f>
        <v/>
      </c>
      <c r="Z356" s="321"/>
      <c r="AA356" s="322"/>
    </row>
    <row r="357" spans="2:28" s="9" customFormat="1" ht="16.5" customHeight="1" x14ac:dyDescent="0.15">
      <c r="B357" s="348"/>
      <c r="C357" s="349"/>
      <c r="D357" s="350"/>
      <c r="E357" s="93"/>
      <c r="F357" s="323" t="str">
        <f>IF(AND($W$165="非該当",$B$347&lt;&gt;""),DATE(YEAR($I$27)-13,MONTH($I$27),DAY($I$27)),"")</f>
        <v/>
      </c>
      <c r="G357" s="324"/>
      <c r="H357" s="325"/>
      <c r="I357" s="318"/>
      <c r="J357" s="319"/>
      <c r="K357" s="316"/>
      <c r="L357" s="317"/>
      <c r="M357" s="318"/>
      <c r="N357" s="319"/>
      <c r="O357" s="304"/>
      <c r="P357" s="305"/>
      <c r="Q357" s="318"/>
      <c r="R357" s="319"/>
      <c r="S357" s="316"/>
      <c r="T357" s="317"/>
      <c r="U357" s="318"/>
      <c r="V357" s="319"/>
      <c r="W357" s="304"/>
      <c r="X357" s="305"/>
      <c r="Y357" s="320"/>
      <c r="Z357" s="321"/>
      <c r="AA357" s="322"/>
    </row>
    <row r="358" spans="2:28" s="9" customFormat="1" ht="16.5" customHeight="1" thickBot="1" x14ac:dyDescent="0.2">
      <c r="B358" s="348"/>
      <c r="C358" s="349"/>
      <c r="D358" s="350"/>
      <c r="E358" s="93"/>
      <c r="F358" s="326" t="s">
        <v>15</v>
      </c>
      <c r="G358" s="327"/>
      <c r="H358" s="328"/>
      <c r="I358" s="288" t="str">
        <f>IF($B$347="","",SUM(I355:J357))</f>
        <v/>
      </c>
      <c r="J358" s="289"/>
      <c r="K358" s="151"/>
      <c r="L358" s="152"/>
      <c r="M358" s="288" t="str">
        <f>IF($B$347="","",SUM(M355:N357))</f>
        <v/>
      </c>
      <c r="N358" s="289"/>
      <c r="O358" s="306"/>
      <c r="P358" s="307"/>
      <c r="Q358" s="288" t="str">
        <f>IF($B$347="","",SUM(Q355:R357))</f>
        <v/>
      </c>
      <c r="R358" s="289"/>
      <c r="S358" s="150"/>
      <c r="T358" s="150"/>
      <c r="U358" s="288" t="str">
        <f>IF($B$347="","",SUM(U355:V357))</f>
        <v/>
      </c>
      <c r="V358" s="289"/>
      <c r="W358" s="306"/>
      <c r="X358" s="307"/>
      <c r="Y358" s="290"/>
      <c r="Z358" s="291"/>
      <c r="AA358" s="292"/>
    </row>
    <row r="359" spans="2:28" s="9" customFormat="1" ht="16.5" customHeight="1" x14ac:dyDescent="0.15">
      <c r="B359" s="348"/>
      <c r="C359" s="349"/>
      <c r="D359" s="350"/>
      <c r="E359" s="93"/>
      <c r="F359" s="293" t="str">
        <f>IF(AND($W$165="非該当",$B$347&lt;&gt;""),DATE(YEAR($I$27)-12,MONTH($I$27),DAY($I$27)),"")</f>
        <v/>
      </c>
      <c r="G359" s="294"/>
      <c r="H359" s="295"/>
      <c r="I359" s="296" t="str">
        <f>IF(I356="","",I356)</f>
        <v/>
      </c>
      <c r="J359" s="297"/>
      <c r="K359" s="298" t="str">
        <f>IF(B$347="","",P19)</f>
        <v/>
      </c>
      <c r="L359" s="299"/>
      <c r="M359" s="300"/>
      <c r="N359" s="301"/>
      <c r="O359" s="302" t="str">
        <f>IF(B$347="","",IF(I362&lt;1,"－",ROUND(M362/I362,3)))</f>
        <v/>
      </c>
      <c r="P359" s="303"/>
      <c r="Q359" s="296" t="str">
        <f>IF(Q356="","",Q356)</f>
        <v/>
      </c>
      <c r="R359" s="297"/>
      <c r="S359" s="298" t="str">
        <f>IF(B$347="","",P19)</f>
        <v/>
      </c>
      <c r="T359" s="299"/>
      <c r="U359" s="300"/>
      <c r="V359" s="301"/>
      <c r="W359" s="302" t="str">
        <f>IF(B$347="","",IF(Q362&lt;1,"－",ROUND(U362/Q362,3)))</f>
        <v/>
      </c>
      <c r="X359" s="303"/>
      <c r="Y359" s="308" t="s">
        <v>173</v>
      </c>
      <c r="Z359" s="309"/>
      <c r="AA359" s="310"/>
      <c r="AB359" s="62"/>
    </row>
    <row r="360" spans="2:28" s="9" customFormat="1" ht="16.5" customHeight="1" x14ac:dyDescent="0.15">
      <c r="B360" s="348"/>
      <c r="C360" s="349"/>
      <c r="D360" s="350"/>
      <c r="E360" s="28" t="str">
        <f>IF(B347="","",B347&amp;F360)</f>
        <v/>
      </c>
      <c r="F360" s="311" t="str">
        <f>IF(AND($W$165="非該当",$B$347&lt;&gt;""),DATE(YEAR($I$27)-13,MONTH($I$27),DAY($I$27)),"　　　　★")</f>
        <v>　　　　★</v>
      </c>
      <c r="G360" s="312"/>
      <c r="H360" s="313"/>
      <c r="I360" s="314" t="str">
        <f>IF(I357="","",I357)</f>
        <v/>
      </c>
      <c r="J360" s="315"/>
      <c r="K360" s="316" t="str">
        <f>IF(B$347="","★の10事業年度後在職者数","事業年度在職者数")</f>
        <v>★の10事業年度後在職者数</v>
      </c>
      <c r="L360" s="317"/>
      <c r="M360" s="318"/>
      <c r="N360" s="319"/>
      <c r="O360" s="304"/>
      <c r="P360" s="305"/>
      <c r="Q360" s="314" t="str">
        <f>IF(Q357="","",Q357)</f>
        <v/>
      </c>
      <c r="R360" s="315"/>
      <c r="S360" s="316" t="str">
        <f>IF(B$347="","★の10事業年度後在職者数","事業年度在職者数")</f>
        <v>★の10事業年度後在職者数</v>
      </c>
      <c r="T360" s="317"/>
      <c r="U360" s="318"/>
      <c r="V360" s="319"/>
      <c r="W360" s="304"/>
      <c r="X360" s="305"/>
      <c r="Y360" s="320" t="str">
        <f>IF(B$347="","",IF(OR(O359="－",W359="－",W359=0),"－",ROUND(O359/W359,2)))</f>
        <v/>
      </c>
      <c r="Z360" s="321"/>
      <c r="AA360" s="322"/>
      <c r="AB360" s="62"/>
    </row>
    <row r="361" spans="2:28" s="9" customFormat="1" ht="16.5" customHeight="1" x14ac:dyDescent="0.15">
      <c r="B361" s="348"/>
      <c r="C361" s="349"/>
      <c r="D361" s="350"/>
      <c r="E361" s="93"/>
      <c r="F361" s="323" t="str">
        <f>IF(AND($W$165="非該当",$B$347&lt;&gt;""),DATE(YEAR($I$27)-14,MONTH($I$27),DAY($I$27)),"")</f>
        <v/>
      </c>
      <c r="G361" s="324"/>
      <c r="H361" s="325"/>
      <c r="I361" s="318"/>
      <c r="J361" s="319"/>
      <c r="K361" s="316"/>
      <c r="L361" s="317"/>
      <c r="M361" s="318"/>
      <c r="N361" s="319"/>
      <c r="O361" s="304"/>
      <c r="P361" s="305"/>
      <c r="Q361" s="318"/>
      <c r="R361" s="319"/>
      <c r="S361" s="316"/>
      <c r="T361" s="317"/>
      <c r="U361" s="318"/>
      <c r="V361" s="319"/>
      <c r="W361" s="304"/>
      <c r="X361" s="305"/>
      <c r="Y361" s="320"/>
      <c r="Z361" s="321"/>
      <c r="AA361" s="322"/>
      <c r="AB361" s="62"/>
    </row>
    <row r="362" spans="2:28" s="9" customFormat="1" ht="16.5" customHeight="1" thickBot="1" x14ac:dyDescent="0.2">
      <c r="B362" s="348"/>
      <c r="C362" s="349"/>
      <c r="D362" s="350"/>
      <c r="E362" s="93"/>
      <c r="F362" s="326" t="s">
        <v>15</v>
      </c>
      <c r="G362" s="327"/>
      <c r="H362" s="328"/>
      <c r="I362" s="288" t="str">
        <f>IF($B$347="","",SUM(I359:J361))</f>
        <v/>
      </c>
      <c r="J362" s="289"/>
      <c r="K362" s="151"/>
      <c r="L362" s="152"/>
      <c r="M362" s="288" t="str">
        <f>IF($B$347="","",SUM(M359:N361))</f>
        <v/>
      </c>
      <c r="N362" s="289"/>
      <c r="O362" s="306"/>
      <c r="P362" s="307"/>
      <c r="Q362" s="288" t="str">
        <f>IF($B$347="","",SUM(Q359:R361))</f>
        <v/>
      </c>
      <c r="R362" s="289"/>
      <c r="S362" s="150"/>
      <c r="T362" s="150"/>
      <c r="U362" s="288" t="str">
        <f>IF($B$347="","",SUM(U359:V361))</f>
        <v/>
      </c>
      <c r="V362" s="289"/>
      <c r="W362" s="306"/>
      <c r="X362" s="307"/>
      <c r="Y362" s="290"/>
      <c r="Z362" s="291"/>
      <c r="AA362" s="292"/>
      <c r="AB362" s="62"/>
    </row>
    <row r="363" spans="2:28" s="9" customFormat="1" ht="16.5" customHeight="1" x14ac:dyDescent="0.15">
      <c r="B363" s="348"/>
      <c r="C363" s="349"/>
      <c r="D363" s="350"/>
      <c r="E363" s="93"/>
      <c r="F363" s="293" t="str">
        <f>IF(AND($W$165="非該当",$B$347&lt;&gt;""),DATE(YEAR($I$27)-13,MONTH($I$27),DAY($I$27)),"")</f>
        <v/>
      </c>
      <c r="G363" s="294"/>
      <c r="H363" s="295"/>
      <c r="I363" s="296" t="str">
        <f>IF(I360="","",I360)</f>
        <v/>
      </c>
      <c r="J363" s="297"/>
      <c r="K363" s="298" t="str">
        <f>IF(B$347="","",P20)</f>
        <v/>
      </c>
      <c r="L363" s="299"/>
      <c r="M363" s="300"/>
      <c r="N363" s="301"/>
      <c r="O363" s="302" t="str">
        <f>IF(B$347="","",IF(I366&lt;1,"－",ROUND(M366/I366,3)))</f>
        <v/>
      </c>
      <c r="P363" s="303"/>
      <c r="Q363" s="296" t="str">
        <f>IF(Q360="","",Q360)</f>
        <v/>
      </c>
      <c r="R363" s="297"/>
      <c r="S363" s="298" t="str">
        <f>IF(B$347="","",P20)</f>
        <v/>
      </c>
      <c r="T363" s="299"/>
      <c r="U363" s="300"/>
      <c r="V363" s="301"/>
      <c r="W363" s="302" t="str">
        <f>IF(B$347="","",IF(Q366&lt;1,"－",ROUND(U366/Q366,3)))</f>
        <v/>
      </c>
      <c r="X363" s="303"/>
      <c r="Y363" s="308" t="s">
        <v>174</v>
      </c>
      <c r="Z363" s="309"/>
      <c r="AA363" s="310"/>
    </row>
    <row r="364" spans="2:28" s="9" customFormat="1" ht="16.5" customHeight="1" x14ac:dyDescent="0.15">
      <c r="B364" s="348"/>
      <c r="C364" s="349"/>
      <c r="D364" s="350"/>
      <c r="E364" s="28" t="str">
        <f>IF(B347="","",B347&amp;F364)</f>
        <v/>
      </c>
      <c r="F364" s="311" t="str">
        <f>IF(AND($W$165="非該当",$B$347&lt;&gt;""),DATE(YEAR($I$27)-14,MONTH($I$27),DAY($I$27)),"　　　　★")</f>
        <v>　　　　★</v>
      </c>
      <c r="G364" s="312"/>
      <c r="H364" s="313"/>
      <c r="I364" s="314" t="str">
        <f>IF(I361="","",I361)</f>
        <v/>
      </c>
      <c r="J364" s="315"/>
      <c r="K364" s="316" t="str">
        <f>IF(B$347="","★の10事業年度後在職者数","事業年度在職者数")</f>
        <v>★の10事業年度後在職者数</v>
      </c>
      <c r="L364" s="317"/>
      <c r="M364" s="318"/>
      <c r="N364" s="319"/>
      <c r="O364" s="304"/>
      <c r="P364" s="305"/>
      <c r="Q364" s="314" t="str">
        <f>IF(Q361="","",Q361)</f>
        <v/>
      </c>
      <c r="R364" s="315"/>
      <c r="S364" s="316" t="str">
        <f>IF(B$347="","★の10事業年度後在職者数","事業年度在職者数")</f>
        <v>★の10事業年度後在職者数</v>
      </c>
      <c r="T364" s="317"/>
      <c r="U364" s="318"/>
      <c r="V364" s="319"/>
      <c r="W364" s="304"/>
      <c r="X364" s="305"/>
      <c r="Y364" s="320" t="str">
        <f>IF(B$347="","",IF(OR(O363="－",W363="－",W363=0),"－",ROUND(O363/W363,2)))</f>
        <v/>
      </c>
      <c r="Z364" s="321"/>
      <c r="AA364" s="322"/>
    </row>
    <row r="365" spans="2:28" s="9" customFormat="1" ht="16.5" customHeight="1" x14ac:dyDescent="0.15">
      <c r="B365" s="348"/>
      <c r="C365" s="349"/>
      <c r="D365" s="350"/>
      <c r="E365" s="93"/>
      <c r="F365" s="323" t="str">
        <f>IF(AND($W$165="非該当",$B$347&lt;&gt;""),DATE(YEAR($I$27)-15,MONTH($I$27),DAY($I$27)),"")</f>
        <v/>
      </c>
      <c r="G365" s="324"/>
      <c r="H365" s="325"/>
      <c r="I365" s="318"/>
      <c r="J365" s="319"/>
      <c r="K365" s="316"/>
      <c r="L365" s="317"/>
      <c r="M365" s="318"/>
      <c r="N365" s="319"/>
      <c r="O365" s="304"/>
      <c r="P365" s="305"/>
      <c r="Q365" s="318"/>
      <c r="R365" s="319"/>
      <c r="S365" s="316"/>
      <c r="T365" s="317"/>
      <c r="U365" s="318"/>
      <c r="V365" s="319"/>
      <c r="W365" s="304"/>
      <c r="X365" s="305"/>
      <c r="Y365" s="320"/>
      <c r="Z365" s="321"/>
      <c r="AA365" s="322"/>
    </row>
    <row r="366" spans="2:28" s="9" customFormat="1" ht="16.5" customHeight="1" thickBot="1" x14ac:dyDescent="0.2">
      <c r="B366" s="348"/>
      <c r="C366" s="349"/>
      <c r="D366" s="350"/>
      <c r="E366" s="93"/>
      <c r="F366" s="326" t="s">
        <v>15</v>
      </c>
      <c r="G366" s="327"/>
      <c r="H366" s="328"/>
      <c r="I366" s="288" t="str">
        <f>IF($B$347="","",SUM(I363:J365))</f>
        <v/>
      </c>
      <c r="J366" s="289"/>
      <c r="K366" s="151"/>
      <c r="L366" s="152"/>
      <c r="M366" s="288" t="str">
        <f>IF($B$347="","",SUM(M363:N365))</f>
        <v/>
      </c>
      <c r="N366" s="289"/>
      <c r="O366" s="306"/>
      <c r="P366" s="307"/>
      <c r="Q366" s="288" t="str">
        <f>IF($B$347="","",SUM(Q363:R365))</f>
        <v/>
      </c>
      <c r="R366" s="289"/>
      <c r="S366" s="150"/>
      <c r="T366" s="150"/>
      <c r="U366" s="288" t="str">
        <f>IF($B$347="","",SUM(U363:V365))</f>
        <v/>
      </c>
      <c r="V366" s="289"/>
      <c r="W366" s="306"/>
      <c r="X366" s="307"/>
      <c r="Y366" s="290"/>
      <c r="Z366" s="291"/>
      <c r="AA366" s="292"/>
    </row>
    <row r="367" spans="2:28" s="9" customFormat="1" ht="16.5" customHeight="1" x14ac:dyDescent="0.15">
      <c r="B367" s="348"/>
      <c r="C367" s="349"/>
      <c r="D367" s="350"/>
      <c r="E367" s="28" t="str">
        <f>B347&amp;1</f>
        <v>1</v>
      </c>
      <c r="F367" s="109" t="str">
        <f>IF(F357=""," 9～13年前採用者の３事業年度ごと継続雇用割合男女比の平均（ア～ウの平均）",S15&amp;"～"&amp;T19&amp;"採用者の３事業年度ごと継続雇用割合男女比の平均（ア～ウの平均）")</f>
        <v xml:space="preserve"> 9～13年前採用者の３事業年度ごと継続雇用割合男女比の平均（ア～ウの平均）</v>
      </c>
      <c r="G367" s="110"/>
      <c r="H367" s="110"/>
      <c r="I367" s="110"/>
      <c r="J367" s="110"/>
      <c r="K367" s="149"/>
      <c r="L367" s="149"/>
      <c r="M367" s="110"/>
      <c r="N367" s="149"/>
      <c r="O367" s="110"/>
      <c r="P367" s="110"/>
      <c r="Q367" s="110"/>
      <c r="R367" s="110"/>
      <c r="S367" s="149"/>
      <c r="T367" s="149"/>
      <c r="U367" s="110"/>
      <c r="V367" s="149"/>
      <c r="W367" s="110"/>
      <c r="X367" s="111"/>
      <c r="Y367" s="279" t="str">
        <f>IF(B347="","",IF(OR(Y348="－",Y352="－",Y356="－"),"算出不能",ROUND(AVERAGE(Y348,Y352,Y356),3)))</f>
        <v/>
      </c>
      <c r="Z367" s="280"/>
      <c r="AA367" s="281"/>
    </row>
    <row r="368" spans="2:28" s="9" customFormat="1" ht="16.5" customHeight="1" x14ac:dyDescent="0.15">
      <c r="B368" s="348"/>
      <c r="C368" s="349"/>
      <c r="D368" s="350"/>
      <c r="E368" s="28" t="str">
        <f>B347&amp;2</f>
        <v>2</v>
      </c>
      <c r="F368" s="104" t="str">
        <f>IF(F361="","10～14年前採用者の　　　　　　　　〃　　　　　　　　　　（イ～エの平均）",S16&amp;"～"&amp;T20&amp;"採用者の　　　　　　　　〃　　　　　　　　　　（イ～エの平均）")</f>
        <v>10～14年前採用者の　　　　　　　　〃　　　　　　　　　　（イ～エの平均）</v>
      </c>
      <c r="G368" s="67"/>
      <c r="H368" s="67"/>
      <c r="I368" s="67"/>
      <c r="J368" s="67"/>
      <c r="K368" s="67"/>
      <c r="L368" s="67"/>
      <c r="M368" s="67"/>
      <c r="N368" s="67"/>
      <c r="O368" s="131"/>
      <c r="P368" s="131"/>
      <c r="Q368" s="131"/>
      <c r="R368" s="131"/>
      <c r="S368" s="67"/>
      <c r="T368" s="67"/>
      <c r="U368" s="68"/>
      <c r="V368" s="67"/>
      <c r="W368" s="68"/>
      <c r="X368" s="69"/>
      <c r="Y368" s="282" t="str">
        <f>IF(B347="","",IF(OR(Y352="－",Y356="－",Y360="－"),"算出不能",ROUND(AVERAGE(Y352,Y356,Y360),3)))</f>
        <v/>
      </c>
      <c r="Z368" s="283"/>
      <c r="AA368" s="284"/>
    </row>
    <row r="369" spans="2:28" ht="16.5" customHeight="1" thickBot="1" x14ac:dyDescent="0.2">
      <c r="B369" s="351"/>
      <c r="C369" s="352"/>
      <c r="D369" s="353"/>
      <c r="E369" s="28" t="str">
        <f>B347&amp;3</f>
        <v>3</v>
      </c>
      <c r="F369" s="105" t="str">
        <f>IF(F365="","11～15年前採用者の　　　　　　　　〃　　　　　　　　　　（ウ～オの平均）",S17&amp;"～"&amp;T21&amp;"採用者の　　　　　　　　〃　　　　　　　　　　（ウ～オの平均）")</f>
        <v>11～15年前採用者の　　　　　　　　〃　　　　　　　　　　（ウ～オの平均）</v>
      </c>
      <c r="G369" s="106"/>
      <c r="H369" s="106"/>
      <c r="I369" s="106"/>
      <c r="J369" s="106"/>
      <c r="K369" s="106"/>
      <c r="L369" s="106"/>
      <c r="M369" s="106"/>
      <c r="N369" s="106"/>
      <c r="O369" s="106"/>
      <c r="P369" s="106"/>
      <c r="Q369" s="106"/>
      <c r="R369" s="106"/>
      <c r="S369" s="106"/>
      <c r="T369" s="106"/>
      <c r="U369" s="107"/>
      <c r="V369" s="106"/>
      <c r="W369" s="107"/>
      <c r="X369" s="108"/>
      <c r="Y369" s="285" t="str">
        <f>IF(B347="","",IF(OR(Y356="－",Y360="－",Y364="－"),"算出不能",ROUND(AVERAGE(Y356,Y360,Y364),3)))</f>
        <v/>
      </c>
      <c r="Z369" s="286"/>
      <c r="AA369" s="287"/>
    </row>
    <row r="370" spans="2:28" s="9" customFormat="1" ht="16.5" customHeight="1" x14ac:dyDescent="0.15">
      <c r="B370" s="345"/>
      <c r="C370" s="346"/>
      <c r="D370" s="347"/>
      <c r="E370" s="28" t="str">
        <f>IF(B370="","",B370&amp;F370)</f>
        <v/>
      </c>
      <c r="F370" s="293" t="str">
        <f>IF(AND($W$165="非該当",$B$370&lt;&gt;""),DATE(YEAR($I$27)-9,MONTH($I$27),DAY($I$27)),"")</f>
        <v/>
      </c>
      <c r="G370" s="294"/>
      <c r="H370" s="295"/>
      <c r="I370" s="296" t="str">
        <f>IF($B$370="","",VLOOKUP($E370,$E$153:$T$164,5,FALSE))</f>
        <v/>
      </c>
      <c r="J370" s="297"/>
      <c r="K370" s="298" t="str">
        <f>IF(B$370="","",P16)</f>
        <v/>
      </c>
      <c r="L370" s="299"/>
      <c r="M370" s="296" t="str">
        <f>IF($B$370="","",VLOOKUP($E370,$E$153:$T$164,7,FALSE))</f>
        <v/>
      </c>
      <c r="N370" s="297"/>
      <c r="O370" s="302" t="str">
        <f>IF(B$370="","",IF(I373&lt;1,"－",ROUND(M373/I373,3)))</f>
        <v/>
      </c>
      <c r="P370" s="303"/>
      <c r="Q370" s="296" t="str">
        <f>IF($B$370="","",VLOOKUP($E370,$E$153:$T$164,12,FALSE))</f>
        <v/>
      </c>
      <c r="R370" s="297"/>
      <c r="S370" s="298" t="str">
        <f>IF(B$370="","",P16)</f>
        <v/>
      </c>
      <c r="T370" s="299"/>
      <c r="U370" s="296" t="str">
        <f>IF($B$370="","",VLOOKUP($E370,$E$153:$T$164,14,FALSE))</f>
        <v/>
      </c>
      <c r="V370" s="297"/>
      <c r="W370" s="302" t="str">
        <f>IF(B$370="","",IF(Q373&lt;1,"－",ROUND(U373/Q373,3)))</f>
        <v/>
      </c>
      <c r="X370" s="303"/>
      <c r="Y370" s="308" t="s">
        <v>170</v>
      </c>
      <c r="Z370" s="309"/>
      <c r="AA370" s="310"/>
    </row>
    <row r="371" spans="2:28" s="9" customFormat="1" ht="16.5" customHeight="1" x14ac:dyDescent="0.15">
      <c r="B371" s="348"/>
      <c r="C371" s="349"/>
      <c r="D371" s="350"/>
      <c r="E371" s="28" t="str">
        <f>IF(B370="","",B370&amp;F371)</f>
        <v/>
      </c>
      <c r="F371" s="311" t="str">
        <f>IF(AND($W$165="非該当",$B$370&lt;&gt;""),DATE(YEAR($I$27)-10,MONTH($I$27),DAY($I$27)),"　　　　★")</f>
        <v>　　　　★</v>
      </c>
      <c r="G371" s="312"/>
      <c r="H371" s="313"/>
      <c r="I371" s="314" t="str">
        <f>IF($B$370="","",VLOOKUP($E371,$E$153:$T$164,5,FALSE))</f>
        <v/>
      </c>
      <c r="J371" s="315"/>
      <c r="K371" s="316" t="str">
        <f>IF(B$370="","★の10事業年度後在職者数","事業年度在職者数")</f>
        <v>★の10事業年度後在職者数</v>
      </c>
      <c r="L371" s="317"/>
      <c r="M371" s="314" t="str">
        <f>IF($B$370="","",VLOOKUP($E371,$E$153:$T$164,7,FALSE))</f>
        <v/>
      </c>
      <c r="N371" s="315"/>
      <c r="O371" s="304"/>
      <c r="P371" s="305"/>
      <c r="Q371" s="314" t="str">
        <f>IF($B$370="","",VLOOKUP($E371,$E$153:$T$164,12,FALSE))</f>
        <v/>
      </c>
      <c r="R371" s="315"/>
      <c r="S371" s="316" t="str">
        <f>IF(B$370="","★の10事業年度後在職者数","事業年度在職者数")</f>
        <v>★の10事業年度後在職者数</v>
      </c>
      <c r="T371" s="317"/>
      <c r="U371" s="314" t="str">
        <f>IF($B$370="","",VLOOKUP($E371,$E$153:$T$164,14,FALSE))</f>
        <v/>
      </c>
      <c r="V371" s="315"/>
      <c r="W371" s="304"/>
      <c r="X371" s="305"/>
      <c r="Y371" s="320" t="str">
        <f>IF(B$370="","",IF(OR(O370="－",W370="－",W370=0),"－",ROUND(O370/W370,2)))</f>
        <v/>
      </c>
      <c r="Z371" s="321"/>
      <c r="AA371" s="322"/>
    </row>
    <row r="372" spans="2:28" s="9" customFormat="1" ht="16.5" customHeight="1" x14ac:dyDescent="0.15">
      <c r="B372" s="348"/>
      <c r="C372" s="349"/>
      <c r="D372" s="350"/>
      <c r="E372" s="28" t="str">
        <f>IF(B370="","",B370&amp;F372)</f>
        <v/>
      </c>
      <c r="F372" s="323" t="str">
        <f>IF(AND($W$165="非該当",$B$370&lt;&gt;""),DATE(YEAR($I$27)-11,MONTH($I$27),DAY($I$27)),"")</f>
        <v/>
      </c>
      <c r="G372" s="324"/>
      <c r="H372" s="325"/>
      <c r="I372" s="314" t="str">
        <f>IF($B$370="","",VLOOKUP($E372,$E$153:$T$164,5,FALSE))</f>
        <v/>
      </c>
      <c r="J372" s="315"/>
      <c r="K372" s="316"/>
      <c r="L372" s="317"/>
      <c r="M372" s="314" t="str">
        <f>IF($B$370="","",VLOOKUP($E372,$E$153:$T$164,7,FALSE))</f>
        <v/>
      </c>
      <c r="N372" s="315"/>
      <c r="O372" s="304"/>
      <c r="P372" s="305"/>
      <c r="Q372" s="314" t="str">
        <f>IF($B$370="","",VLOOKUP($E372,$E$153:$T$164,12,FALSE))</f>
        <v/>
      </c>
      <c r="R372" s="315"/>
      <c r="S372" s="316"/>
      <c r="T372" s="317"/>
      <c r="U372" s="314" t="str">
        <f>IF($B$370="","",VLOOKUP($E372,$E$153:$T$164,14,FALSE))</f>
        <v/>
      </c>
      <c r="V372" s="315"/>
      <c r="W372" s="304"/>
      <c r="X372" s="305"/>
      <c r="Y372" s="320"/>
      <c r="Z372" s="321"/>
      <c r="AA372" s="322"/>
    </row>
    <row r="373" spans="2:28" s="9" customFormat="1" ht="16.5" customHeight="1" thickBot="1" x14ac:dyDescent="0.2">
      <c r="B373" s="348"/>
      <c r="C373" s="349"/>
      <c r="D373" s="350"/>
      <c r="E373" s="130"/>
      <c r="F373" s="326" t="s">
        <v>15</v>
      </c>
      <c r="G373" s="327"/>
      <c r="H373" s="328"/>
      <c r="I373" s="288" t="str">
        <f>IF($B$370="","",SUM(I370:J372))</f>
        <v/>
      </c>
      <c r="J373" s="289"/>
      <c r="K373" s="151"/>
      <c r="L373" s="152"/>
      <c r="M373" s="288" t="str">
        <f>IF($B$370="","",SUM(M370:N372))</f>
        <v/>
      </c>
      <c r="N373" s="289"/>
      <c r="O373" s="306"/>
      <c r="P373" s="307"/>
      <c r="Q373" s="288" t="str">
        <f>IF($B$370="","",SUM(Q370:R372))</f>
        <v/>
      </c>
      <c r="R373" s="289"/>
      <c r="S373" s="151"/>
      <c r="T373" s="152"/>
      <c r="U373" s="288" t="str">
        <f>IF($B$370="","",SUM(U370:V372))</f>
        <v/>
      </c>
      <c r="V373" s="289"/>
      <c r="W373" s="306"/>
      <c r="X373" s="307"/>
      <c r="Y373" s="290"/>
      <c r="Z373" s="291"/>
      <c r="AA373" s="292"/>
    </row>
    <row r="374" spans="2:28" s="9" customFormat="1" ht="16.5" customHeight="1" x14ac:dyDescent="0.15">
      <c r="B374" s="348"/>
      <c r="C374" s="349"/>
      <c r="D374" s="350"/>
      <c r="E374" s="130"/>
      <c r="F374" s="293" t="str">
        <f>IF(AND($W$165="非該当",$B$370&lt;&gt;""),DATE(YEAR($I$27)-10,MONTH($I$27),DAY($I$27)),"")</f>
        <v/>
      </c>
      <c r="G374" s="294"/>
      <c r="H374" s="295"/>
      <c r="I374" s="296" t="str">
        <f>IF(I371="","",I371)</f>
        <v/>
      </c>
      <c r="J374" s="297"/>
      <c r="K374" s="298" t="str">
        <f>IF(B$370="","",P17)</f>
        <v/>
      </c>
      <c r="L374" s="299"/>
      <c r="M374" s="300"/>
      <c r="N374" s="301"/>
      <c r="O374" s="302" t="str">
        <f>IF(B$370="","",IF(I377&lt;1,"－",ROUND(M377/I377,3)))</f>
        <v/>
      </c>
      <c r="P374" s="303"/>
      <c r="Q374" s="296" t="str">
        <f>IF(Q371="","",Q371)</f>
        <v/>
      </c>
      <c r="R374" s="297"/>
      <c r="S374" s="298" t="str">
        <f>IF(B$370="","",P17)</f>
        <v/>
      </c>
      <c r="T374" s="299"/>
      <c r="U374" s="300"/>
      <c r="V374" s="301"/>
      <c r="W374" s="302" t="str">
        <f>IF(B$370="","",IF(Q377&lt;1,"－",ROUND(U377/Q377,3)))</f>
        <v/>
      </c>
      <c r="X374" s="303"/>
      <c r="Y374" s="308" t="s">
        <v>171</v>
      </c>
      <c r="Z374" s="309"/>
      <c r="AA374" s="310"/>
    </row>
    <row r="375" spans="2:28" s="9" customFormat="1" ht="16.5" customHeight="1" x14ac:dyDescent="0.15">
      <c r="B375" s="348"/>
      <c r="C375" s="349"/>
      <c r="D375" s="350"/>
      <c r="E375" s="28" t="str">
        <f>IF(B370="","",B370&amp;F375&amp;"その2")</f>
        <v/>
      </c>
      <c r="F375" s="311" t="str">
        <f>IF(AND($W$165="非該当",$B$370&lt;&gt;""),DATE(YEAR($I$27)-11,MONTH($I$27),DAY($I$27)),"　　　　★")</f>
        <v>　　　　★</v>
      </c>
      <c r="G375" s="312"/>
      <c r="H375" s="313"/>
      <c r="I375" s="314" t="str">
        <f>IF(I372="","",I372)</f>
        <v/>
      </c>
      <c r="J375" s="315"/>
      <c r="K375" s="316" t="str">
        <f>IF(B$370="","★の10事業年度後在職者数","事業年度在職者数")</f>
        <v>★の10事業年度後在職者数</v>
      </c>
      <c r="L375" s="317"/>
      <c r="M375" s="318"/>
      <c r="N375" s="319"/>
      <c r="O375" s="304"/>
      <c r="P375" s="305"/>
      <c r="Q375" s="314" t="str">
        <f>IF(Q372="","",Q372)</f>
        <v/>
      </c>
      <c r="R375" s="315"/>
      <c r="S375" s="316" t="str">
        <f>IF(B$370="","★の10事業年度後在職者数","事業年度在職者数")</f>
        <v>★の10事業年度後在職者数</v>
      </c>
      <c r="T375" s="317"/>
      <c r="U375" s="318"/>
      <c r="V375" s="319"/>
      <c r="W375" s="304"/>
      <c r="X375" s="305"/>
      <c r="Y375" s="320" t="str">
        <f>IF(B$370="","",IF(OR(O374="－",W374="－",W374=0),"－",ROUND(O374/W374,2)))</f>
        <v/>
      </c>
      <c r="Z375" s="321"/>
      <c r="AA375" s="322"/>
    </row>
    <row r="376" spans="2:28" s="9" customFormat="1" ht="16.5" customHeight="1" x14ac:dyDescent="0.15">
      <c r="B376" s="348"/>
      <c r="C376" s="349"/>
      <c r="D376" s="350"/>
      <c r="E376" s="130"/>
      <c r="F376" s="323" t="str">
        <f>IF(AND($W$165="非該当",$B$370&lt;&gt;""),DATE(YEAR($I$27)-12,MONTH($I$27),DAY($I$27)),"")</f>
        <v/>
      </c>
      <c r="G376" s="324"/>
      <c r="H376" s="325"/>
      <c r="I376" s="318"/>
      <c r="J376" s="319"/>
      <c r="K376" s="316"/>
      <c r="L376" s="317"/>
      <c r="M376" s="318"/>
      <c r="N376" s="319"/>
      <c r="O376" s="304"/>
      <c r="P376" s="305"/>
      <c r="Q376" s="318"/>
      <c r="R376" s="319"/>
      <c r="S376" s="316"/>
      <c r="T376" s="317"/>
      <c r="U376" s="318"/>
      <c r="V376" s="319"/>
      <c r="W376" s="304"/>
      <c r="X376" s="305"/>
      <c r="Y376" s="320"/>
      <c r="Z376" s="321"/>
      <c r="AA376" s="322"/>
    </row>
    <row r="377" spans="2:28" s="9" customFormat="1" ht="16.5" customHeight="1" thickBot="1" x14ac:dyDescent="0.2">
      <c r="B377" s="348"/>
      <c r="C377" s="349"/>
      <c r="D377" s="350"/>
      <c r="E377" s="130"/>
      <c r="F377" s="326" t="s">
        <v>15</v>
      </c>
      <c r="G377" s="327"/>
      <c r="H377" s="328"/>
      <c r="I377" s="288" t="str">
        <f>IF($B$370="","",SUM(I374:J376))</f>
        <v/>
      </c>
      <c r="J377" s="289"/>
      <c r="K377" s="151"/>
      <c r="L377" s="152"/>
      <c r="M377" s="288" t="str">
        <f>IF($B$370="","",SUM(M374:N376))</f>
        <v/>
      </c>
      <c r="N377" s="289"/>
      <c r="O377" s="306"/>
      <c r="P377" s="307"/>
      <c r="Q377" s="288" t="str">
        <f>IF($B$370="","",SUM(Q374:R376))</f>
        <v/>
      </c>
      <c r="R377" s="289"/>
      <c r="S377" s="150"/>
      <c r="T377" s="150"/>
      <c r="U377" s="288" t="str">
        <f>IF($B$370="","",SUM(U374:V376))</f>
        <v/>
      </c>
      <c r="V377" s="289"/>
      <c r="W377" s="306"/>
      <c r="X377" s="307"/>
      <c r="Y377" s="290"/>
      <c r="Z377" s="291"/>
      <c r="AA377" s="292"/>
    </row>
    <row r="378" spans="2:28" s="9" customFormat="1" ht="16.5" customHeight="1" x14ac:dyDescent="0.15">
      <c r="B378" s="348"/>
      <c r="C378" s="349"/>
      <c r="D378" s="350"/>
      <c r="E378" s="130"/>
      <c r="F378" s="293" t="str">
        <f>IF(AND($W$165="非該当",$B$370&lt;&gt;""),DATE(YEAR($I$27)-11,MONTH($I$27),DAY($I$27)),"")</f>
        <v/>
      </c>
      <c r="G378" s="294"/>
      <c r="H378" s="295"/>
      <c r="I378" s="296" t="str">
        <f>IF(I375="","",I375)</f>
        <v/>
      </c>
      <c r="J378" s="297"/>
      <c r="K378" s="298" t="str">
        <f>IF(B$370="","",P18)</f>
        <v/>
      </c>
      <c r="L378" s="299"/>
      <c r="M378" s="300"/>
      <c r="N378" s="301"/>
      <c r="O378" s="302" t="str">
        <f>IF(B$370="","",IF(I381&lt;1,"－",ROUND(M381/I381,3)))</f>
        <v/>
      </c>
      <c r="P378" s="303"/>
      <c r="Q378" s="296" t="str">
        <f>IF(Q375="","",Q375)</f>
        <v/>
      </c>
      <c r="R378" s="297"/>
      <c r="S378" s="298" t="str">
        <f>IF(B$370="","",P18)</f>
        <v/>
      </c>
      <c r="T378" s="299"/>
      <c r="U378" s="300"/>
      <c r="V378" s="301"/>
      <c r="W378" s="302" t="str">
        <f>IF(B$370="","",IF(Q381&lt;1,"－",ROUND(U381/Q381,3)))</f>
        <v/>
      </c>
      <c r="X378" s="303"/>
      <c r="Y378" s="308" t="s">
        <v>172</v>
      </c>
      <c r="Z378" s="309"/>
      <c r="AA378" s="310"/>
    </row>
    <row r="379" spans="2:28" s="9" customFormat="1" ht="16.5" customHeight="1" x14ac:dyDescent="0.15">
      <c r="B379" s="348"/>
      <c r="C379" s="349"/>
      <c r="D379" s="350"/>
      <c r="E379" s="28" t="str">
        <f>IF(B370="","",B370&amp;F379)</f>
        <v/>
      </c>
      <c r="F379" s="311" t="str">
        <f>IF(AND($W$165="非該当",$B$370&lt;&gt;""),DATE(YEAR($I$27)-12,MONTH($I$27),DAY($I$27)),"　　　　★")</f>
        <v>　　　　★</v>
      </c>
      <c r="G379" s="312"/>
      <c r="H379" s="313"/>
      <c r="I379" s="314" t="str">
        <f>IF(I376="","",I376)</f>
        <v/>
      </c>
      <c r="J379" s="315"/>
      <c r="K379" s="316" t="str">
        <f>IF(B$370="","★の10事業年度後在職者数","事業年度在職者数")</f>
        <v>★の10事業年度後在職者数</v>
      </c>
      <c r="L379" s="317"/>
      <c r="M379" s="318"/>
      <c r="N379" s="319"/>
      <c r="O379" s="304"/>
      <c r="P379" s="305"/>
      <c r="Q379" s="314" t="str">
        <f>IF(Q376="","",Q376)</f>
        <v/>
      </c>
      <c r="R379" s="315"/>
      <c r="S379" s="316" t="str">
        <f>IF(B$370="","★の10事業年度後在職者数","事業年度在職者数")</f>
        <v>★の10事業年度後在職者数</v>
      </c>
      <c r="T379" s="317"/>
      <c r="U379" s="318"/>
      <c r="V379" s="319"/>
      <c r="W379" s="304"/>
      <c r="X379" s="305"/>
      <c r="Y379" s="320" t="str">
        <f>IF(B$370="","",IF(OR(O378="－",W378="－",W378=0),"－",ROUND(O378/W378,2)))</f>
        <v/>
      </c>
      <c r="Z379" s="321"/>
      <c r="AA379" s="322"/>
    </row>
    <row r="380" spans="2:28" s="9" customFormat="1" ht="16.5" customHeight="1" x14ac:dyDescent="0.15">
      <c r="B380" s="348"/>
      <c r="C380" s="349"/>
      <c r="D380" s="350"/>
      <c r="E380" s="130"/>
      <c r="F380" s="323" t="str">
        <f>IF(AND($W$165="非該当",$B$370&lt;&gt;""),DATE(YEAR($I$27)-13,MONTH($I$27),DAY($I$27)),"")</f>
        <v/>
      </c>
      <c r="G380" s="324"/>
      <c r="H380" s="325"/>
      <c r="I380" s="318"/>
      <c r="J380" s="319"/>
      <c r="K380" s="316"/>
      <c r="L380" s="317"/>
      <c r="M380" s="318"/>
      <c r="N380" s="319"/>
      <c r="O380" s="304"/>
      <c r="P380" s="305"/>
      <c r="Q380" s="318"/>
      <c r="R380" s="319"/>
      <c r="S380" s="316"/>
      <c r="T380" s="317"/>
      <c r="U380" s="318"/>
      <c r="V380" s="319"/>
      <c r="W380" s="304"/>
      <c r="X380" s="305"/>
      <c r="Y380" s="320"/>
      <c r="Z380" s="321"/>
      <c r="AA380" s="322"/>
    </row>
    <row r="381" spans="2:28" s="9" customFormat="1" ht="16.5" customHeight="1" thickBot="1" x14ac:dyDescent="0.2">
      <c r="B381" s="348"/>
      <c r="C381" s="349"/>
      <c r="D381" s="350"/>
      <c r="E381" s="130"/>
      <c r="F381" s="326" t="s">
        <v>15</v>
      </c>
      <c r="G381" s="327"/>
      <c r="H381" s="328"/>
      <c r="I381" s="288" t="str">
        <f>IF($B$370="","",SUM(I378:J380))</f>
        <v/>
      </c>
      <c r="J381" s="289"/>
      <c r="K381" s="151"/>
      <c r="L381" s="152"/>
      <c r="M381" s="288" t="str">
        <f>IF($B$370="","",SUM(M378:N380))</f>
        <v/>
      </c>
      <c r="N381" s="289"/>
      <c r="O381" s="306"/>
      <c r="P381" s="307"/>
      <c r="Q381" s="288" t="str">
        <f>IF($B$370="","",SUM(Q378:R380))</f>
        <v/>
      </c>
      <c r="R381" s="289"/>
      <c r="S381" s="150"/>
      <c r="T381" s="150"/>
      <c r="U381" s="288" t="str">
        <f>IF($B$370="","",SUM(U378:V380))</f>
        <v/>
      </c>
      <c r="V381" s="289"/>
      <c r="W381" s="306"/>
      <c r="X381" s="307"/>
      <c r="Y381" s="290"/>
      <c r="Z381" s="291"/>
      <c r="AA381" s="292"/>
    </row>
    <row r="382" spans="2:28" s="9" customFormat="1" ht="16.5" customHeight="1" x14ac:dyDescent="0.15">
      <c r="B382" s="348"/>
      <c r="C382" s="349"/>
      <c r="D382" s="350"/>
      <c r="E382" s="130"/>
      <c r="F382" s="293" t="str">
        <f>IF(AND($W$165="非該当",$B$370&lt;&gt;""),DATE(YEAR($I$27)-12,MONTH($I$27),DAY($I$27)),"")</f>
        <v/>
      </c>
      <c r="G382" s="294"/>
      <c r="H382" s="295"/>
      <c r="I382" s="296" t="str">
        <f>IF(I379="","",I379)</f>
        <v/>
      </c>
      <c r="J382" s="297"/>
      <c r="K382" s="298" t="str">
        <f>IF(B$370="","",P19)</f>
        <v/>
      </c>
      <c r="L382" s="299"/>
      <c r="M382" s="300"/>
      <c r="N382" s="301"/>
      <c r="O382" s="302" t="str">
        <f>IF(B$370="","",IF(I385&lt;1,"－",ROUND(M385/I385,3)))</f>
        <v/>
      </c>
      <c r="P382" s="303"/>
      <c r="Q382" s="296" t="str">
        <f>IF(Q379="","",Q379)</f>
        <v/>
      </c>
      <c r="R382" s="297"/>
      <c r="S382" s="298" t="str">
        <f>IF(B$370="","",P19)</f>
        <v/>
      </c>
      <c r="T382" s="299"/>
      <c r="U382" s="300"/>
      <c r="V382" s="301"/>
      <c r="W382" s="302" t="str">
        <f>IF(B$370="","",IF(Q385&lt;1,"－",ROUND(U385/Q385,3)))</f>
        <v/>
      </c>
      <c r="X382" s="303"/>
      <c r="Y382" s="308" t="s">
        <v>173</v>
      </c>
      <c r="Z382" s="309"/>
      <c r="AA382" s="310"/>
      <c r="AB382" s="62"/>
    </row>
    <row r="383" spans="2:28" s="9" customFormat="1" ht="16.5" customHeight="1" x14ac:dyDescent="0.15">
      <c r="B383" s="348"/>
      <c r="C383" s="349"/>
      <c r="D383" s="350"/>
      <c r="E383" s="28" t="str">
        <f>IF(B370="","",B370&amp;F383)</f>
        <v/>
      </c>
      <c r="F383" s="311" t="str">
        <f>IF(AND($W$165="非該当",$B$370&lt;&gt;""),DATE(YEAR($I$27)-13,MONTH($I$27),DAY($I$27)),"　　　　★")</f>
        <v>　　　　★</v>
      </c>
      <c r="G383" s="312"/>
      <c r="H383" s="313"/>
      <c r="I383" s="314" t="str">
        <f>IF(I380="","",I380)</f>
        <v/>
      </c>
      <c r="J383" s="315"/>
      <c r="K383" s="316" t="str">
        <f>IF(B$370="","★の10事業年度後在職者数","事業年度在職者数")</f>
        <v>★の10事業年度後在職者数</v>
      </c>
      <c r="L383" s="317"/>
      <c r="M383" s="318"/>
      <c r="N383" s="319"/>
      <c r="O383" s="304"/>
      <c r="P383" s="305"/>
      <c r="Q383" s="314" t="str">
        <f>IF(Q380="","",Q380)</f>
        <v/>
      </c>
      <c r="R383" s="315"/>
      <c r="S383" s="316" t="str">
        <f>IF(B$370="","★の10事業年度後在職者数","事業年度在職者数")</f>
        <v>★の10事業年度後在職者数</v>
      </c>
      <c r="T383" s="317"/>
      <c r="U383" s="318"/>
      <c r="V383" s="319"/>
      <c r="W383" s="304"/>
      <c r="X383" s="305"/>
      <c r="Y383" s="320" t="str">
        <f>IF(B$370="","",IF(OR(O382="－",W382="－",W382=0),"－",ROUND(O382/W382,2)))</f>
        <v/>
      </c>
      <c r="Z383" s="321"/>
      <c r="AA383" s="322"/>
      <c r="AB383" s="62"/>
    </row>
    <row r="384" spans="2:28" s="9" customFormat="1" ht="16.5" customHeight="1" x14ac:dyDescent="0.15">
      <c r="B384" s="348"/>
      <c r="C384" s="349"/>
      <c r="D384" s="350"/>
      <c r="E384" s="130"/>
      <c r="F384" s="323" t="str">
        <f>IF(AND($W$165="非該当",$B$370&lt;&gt;""),DATE(YEAR($I$27)-14,MONTH($I$27),DAY($I$27)),"")</f>
        <v/>
      </c>
      <c r="G384" s="324"/>
      <c r="H384" s="325"/>
      <c r="I384" s="318"/>
      <c r="J384" s="319"/>
      <c r="K384" s="316"/>
      <c r="L384" s="317"/>
      <c r="M384" s="318"/>
      <c r="N384" s="319"/>
      <c r="O384" s="304"/>
      <c r="P384" s="305"/>
      <c r="Q384" s="318"/>
      <c r="R384" s="319"/>
      <c r="S384" s="316"/>
      <c r="T384" s="317"/>
      <c r="U384" s="318"/>
      <c r="V384" s="319"/>
      <c r="W384" s="304"/>
      <c r="X384" s="305"/>
      <c r="Y384" s="320"/>
      <c r="Z384" s="321"/>
      <c r="AA384" s="322"/>
      <c r="AB384" s="62"/>
    </row>
    <row r="385" spans="2:28" s="9" customFormat="1" ht="16.5" customHeight="1" thickBot="1" x14ac:dyDescent="0.2">
      <c r="B385" s="348"/>
      <c r="C385" s="349"/>
      <c r="D385" s="350"/>
      <c r="E385" s="130"/>
      <c r="F385" s="326" t="s">
        <v>15</v>
      </c>
      <c r="G385" s="327"/>
      <c r="H385" s="328"/>
      <c r="I385" s="288" t="str">
        <f>IF($B$370="","",SUM(I382:J384))</f>
        <v/>
      </c>
      <c r="J385" s="289"/>
      <c r="K385" s="151"/>
      <c r="L385" s="152"/>
      <c r="M385" s="288" t="str">
        <f>IF($B$370="","",SUM(M382:N384))</f>
        <v/>
      </c>
      <c r="N385" s="289"/>
      <c r="O385" s="306"/>
      <c r="P385" s="307"/>
      <c r="Q385" s="288" t="str">
        <f>IF($B$370="","",SUM(Q382:R384))</f>
        <v/>
      </c>
      <c r="R385" s="289"/>
      <c r="S385" s="150"/>
      <c r="T385" s="150"/>
      <c r="U385" s="288" t="str">
        <f>IF($B$370="","",SUM(U382:V384))</f>
        <v/>
      </c>
      <c r="V385" s="289"/>
      <c r="W385" s="306"/>
      <c r="X385" s="307"/>
      <c r="Y385" s="290"/>
      <c r="Z385" s="291"/>
      <c r="AA385" s="292"/>
      <c r="AB385" s="62"/>
    </row>
    <row r="386" spans="2:28" s="9" customFormat="1" ht="16.5" customHeight="1" x14ac:dyDescent="0.15">
      <c r="B386" s="348"/>
      <c r="C386" s="349"/>
      <c r="D386" s="350"/>
      <c r="E386" s="130"/>
      <c r="F386" s="293" t="str">
        <f>IF(AND($W$165="非該当",$B$370&lt;&gt;""),DATE(YEAR($I$27)-13,MONTH($I$27),DAY($I$27)),"")</f>
        <v/>
      </c>
      <c r="G386" s="294"/>
      <c r="H386" s="295"/>
      <c r="I386" s="296" t="str">
        <f>IF(I383="","",I383)</f>
        <v/>
      </c>
      <c r="J386" s="297"/>
      <c r="K386" s="298" t="str">
        <f>IF(B$370="","",P20)</f>
        <v/>
      </c>
      <c r="L386" s="299"/>
      <c r="M386" s="300"/>
      <c r="N386" s="301"/>
      <c r="O386" s="302" t="str">
        <f>IF(B$370="","",IF(I389&lt;1,"－",ROUND(M389/I389,3)))</f>
        <v/>
      </c>
      <c r="P386" s="303"/>
      <c r="Q386" s="296" t="str">
        <f>IF(Q383="","",Q383)</f>
        <v/>
      </c>
      <c r="R386" s="297"/>
      <c r="S386" s="298" t="str">
        <f>IF(B$370="","",P20)</f>
        <v/>
      </c>
      <c r="T386" s="299"/>
      <c r="U386" s="300"/>
      <c r="V386" s="301"/>
      <c r="W386" s="302" t="str">
        <f>IF(B$370="","",IF(Q389&lt;1,"－",ROUND(U389/Q389,3)))</f>
        <v/>
      </c>
      <c r="X386" s="303"/>
      <c r="Y386" s="308" t="s">
        <v>174</v>
      </c>
      <c r="Z386" s="309"/>
      <c r="AA386" s="310"/>
    </row>
    <row r="387" spans="2:28" s="9" customFormat="1" ht="16.5" customHeight="1" x14ac:dyDescent="0.15">
      <c r="B387" s="348"/>
      <c r="C387" s="349"/>
      <c r="D387" s="350"/>
      <c r="E387" s="28" t="str">
        <f>IF(B370="","",B370&amp;F387)</f>
        <v/>
      </c>
      <c r="F387" s="311" t="str">
        <f>IF(AND($W$165="非該当",$B$370&lt;&gt;""),DATE(YEAR($I$27)-14,MONTH($I$27),DAY($I$27)),"　　　　★")</f>
        <v>　　　　★</v>
      </c>
      <c r="G387" s="312"/>
      <c r="H387" s="313"/>
      <c r="I387" s="314" t="str">
        <f>IF(I384="","",I384)</f>
        <v/>
      </c>
      <c r="J387" s="315"/>
      <c r="K387" s="316" t="str">
        <f>IF(B$370="","★の10事業年度後在職者数","事業年度在職者数")</f>
        <v>★の10事業年度後在職者数</v>
      </c>
      <c r="L387" s="317"/>
      <c r="M387" s="318"/>
      <c r="N387" s="319"/>
      <c r="O387" s="304"/>
      <c r="P387" s="305"/>
      <c r="Q387" s="314" t="str">
        <f>IF(Q384="","",Q384)</f>
        <v/>
      </c>
      <c r="R387" s="315"/>
      <c r="S387" s="316" t="str">
        <f>IF(B$370="","★の10事業年度後在職者数","事業年度在職者数")</f>
        <v>★の10事業年度後在職者数</v>
      </c>
      <c r="T387" s="317"/>
      <c r="U387" s="318"/>
      <c r="V387" s="319"/>
      <c r="W387" s="304"/>
      <c r="X387" s="305"/>
      <c r="Y387" s="320" t="str">
        <f>IF(B$370="","",IF(OR(O386="－",W386="－",W386=0),"－",ROUND(O386/W386,2)))</f>
        <v/>
      </c>
      <c r="Z387" s="321"/>
      <c r="AA387" s="322"/>
    </row>
    <row r="388" spans="2:28" s="9" customFormat="1" ht="16.5" customHeight="1" x14ac:dyDescent="0.15">
      <c r="B388" s="348"/>
      <c r="C388" s="349"/>
      <c r="D388" s="350"/>
      <c r="E388" s="130"/>
      <c r="F388" s="323" t="str">
        <f>IF(AND($W$165="非該当",$B$370&lt;&gt;""),DATE(YEAR($I$27)-15,MONTH($I$27),DAY($I$27)),"")</f>
        <v/>
      </c>
      <c r="G388" s="324"/>
      <c r="H388" s="325"/>
      <c r="I388" s="318"/>
      <c r="J388" s="319"/>
      <c r="K388" s="316"/>
      <c r="L388" s="317"/>
      <c r="M388" s="318"/>
      <c r="N388" s="319"/>
      <c r="O388" s="304"/>
      <c r="P388" s="305"/>
      <c r="Q388" s="318"/>
      <c r="R388" s="319"/>
      <c r="S388" s="316"/>
      <c r="T388" s="317"/>
      <c r="U388" s="318"/>
      <c r="V388" s="319"/>
      <c r="W388" s="304"/>
      <c r="X388" s="305"/>
      <c r="Y388" s="320"/>
      <c r="Z388" s="321"/>
      <c r="AA388" s="322"/>
    </row>
    <row r="389" spans="2:28" s="9" customFormat="1" ht="16.5" customHeight="1" thickBot="1" x14ac:dyDescent="0.2">
      <c r="B389" s="348"/>
      <c r="C389" s="349"/>
      <c r="D389" s="350"/>
      <c r="E389" s="130"/>
      <c r="F389" s="326" t="s">
        <v>15</v>
      </c>
      <c r="G389" s="327"/>
      <c r="H389" s="328"/>
      <c r="I389" s="288" t="str">
        <f>IF($B$370="","",SUM(I386:J388))</f>
        <v/>
      </c>
      <c r="J389" s="289"/>
      <c r="K389" s="151"/>
      <c r="L389" s="152"/>
      <c r="M389" s="288" t="str">
        <f>IF($B$370="","",SUM(M386:N388))</f>
        <v/>
      </c>
      <c r="N389" s="289"/>
      <c r="O389" s="306"/>
      <c r="P389" s="307"/>
      <c r="Q389" s="288" t="str">
        <f>IF($B$370="","",SUM(Q386:R388))</f>
        <v/>
      </c>
      <c r="R389" s="289"/>
      <c r="S389" s="150"/>
      <c r="T389" s="150"/>
      <c r="U389" s="288" t="str">
        <f>IF($B$370="","",SUM(U386:V388))</f>
        <v/>
      </c>
      <c r="V389" s="289"/>
      <c r="W389" s="306"/>
      <c r="X389" s="307"/>
      <c r="Y389" s="290"/>
      <c r="Z389" s="291"/>
      <c r="AA389" s="292"/>
    </row>
    <row r="390" spans="2:28" s="9" customFormat="1" ht="16.5" customHeight="1" x14ac:dyDescent="0.15">
      <c r="B390" s="348"/>
      <c r="C390" s="349"/>
      <c r="D390" s="350"/>
      <c r="E390" s="28" t="str">
        <f>B370&amp;1</f>
        <v>1</v>
      </c>
      <c r="F390" s="109" t="str">
        <f>IF(F380=""," 9～13年前採用者の３事業年度ごと継続雇用割合男女比の平均（ア～ウの平均）",S15&amp;"～"&amp;T19&amp;"採用者の３事業年度ごと継続雇用割合男女比の平均（ア～ウの平均）")</f>
        <v xml:space="preserve"> 9～13年前採用者の３事業年度ごと継続雇用割合男女比の平均（ア～ウの平均）</v>
      </c>
      <c r="G390" s="110"/>
      <c r="H390" s="110"/>
      <c r="I390" s="110"/>
      <c r="J390" s="110"/>
      <c r="K390" s="149"/>
      <c r="L390" s="149"/>
      <c r="M390" s="110"/>
      <c r="N390" s="149"/>
      <c r="O390" s="110"/>
      <c r="P390" s="110"/>
      <c r="Q390" s="110"/>
      <c r="R390" s="110"/>
      <c r="S390" s="149"/>
      <c r="T390" s="149"/>
      <c r="U390" s="110"/>
      <c r="V390" s="149"/>
      <c r="W390" s="110"/>
      <c r="X390" s="111"/>
      <c r="Y390" s="279" t="str">
        <f>IF(B370="","",IF(OR(Y371="－",Y375="－",Y379="－"),"算出不能",ROUND(AVERAGE(Y371,Y375,Y379),3)))</f>
        <v/>
      </c>
      <c r="Z390" s="280"/>
      <c r="AA390" s="281"/>
    </row>
    <row r="391" spans="2:28" s="9" customFormat="1" ht="16.5" customHeight="1" x14ac:dyDescent="0.15">
      <c r="B391" s="348"/>
      <c r="C391" s="349"/>
      <c r="D391" s="350"/>
      <c r="E391" s="28" t="str">
        <f>B370&amp;2</f>
        <v>2</v>
      </c>
      <c r="F391" s="104" t="str">
        <f>IF(F384="","10～14年前採用者の　　　　　　　　〃　　　　　　　　　　（イ～エの平均）",S16&amp;"～"&amp;T20&amp;"採用者の　　　　　　　　〃　　　　　　　　　　（イ～エの平均）")</f>
        <v>10～14年前採用者の　　　　　　　　〃　　　　　　　　　　（イ～エの平均）</v>
      </c>
      <c r="G391" s="67"/>
      <c r="H391" s="67"/>
      <c r="I391" s="67"/>
      <c r="J391" s="67"/>
      <c r="K391" s="67"/>
      <c r="L391" s="67"/>
      <c r="M391" s="67"/>
      <c r="N391" s="67"/>
      <c r="O391" s="131"/>
      <c r="P391" s="131"/>
      <c r="Q391" s="131"/>
      <c r="R391" s="131"/>
      <c r="S391" s="67"/>
      <c r="T391" s="67"/>
      <c r="U391" s="68"/>
      <c r="V391" s="67"/>
      <c r="W391" s="68"/>
      <c r="X391" s="69"/>
      <c r="Y391" s="282" t="str">
        <f>IF(B370="","",IF(OR(Y375="－",Y379="－",Y383="－"),"算出不能",ROUND(AVERAGE(Y375,Y379,Y383),3)))</f>
        <v/>
      </c>
      <c r="Z391" s="283"/>
      <c r="AA391" s="284"/>
    </row>
    <row r="392" spans="2:28" ht="16.5" customHeight="1" thickBot="1" x14ac:dyDescent="0.2">
      <c r="B392" s="351"/>
      <c r="C392" s="352"/>
      <c r="D392" s="353"/>
      <c r="E392" s="28" t="str">
        <f>B370&amp;3</f>
        <v>3</v>
      </c>
      <c r="F392" s="105" t="str">
        <f>IF(F388="","11～15年前採用者の　　　　　　　　〃　　　　　　　　　　（ウ～オの平均）",S17&amp;"～"&amp;T21&amp;"採用者の　　　　　　　　〃　　　　　　　　　　（ウ～オの平均）")</f>
        <v>11～15年前採用者の　　　　　　　　〃　　　　　　　　　　（ウ～オの平均）</v>
      </c>
      <c r="G392" s="106"/>
      <c r="H392" s="106"/>
      <c r="I392" s="106"/>
      <c r="J392" s="106"/>
      <c r="K392" s="106"/>
      <c r="L392" s="106"/>
      <c r="M392" s="106"/>
      <c r="N392" s="106"/>
      <c r="O392" s="106"/>
      <c r="P392" s="106"/>
      <c r="Q392" s="106"/>
      <c r="R392" s="106"/>
      <c r="S392" s="106"/>
      <c r="T392" s="106"/>
      <c r="U392" s="107"/>
      <c r="V392" s="106"/>
      <c r="W392" s="107"/>
      <c r="X392" s="108"/>
      <c r="Y392" s="285" t="str">
        <f>IF(B370="","",IF(OR(Y379="－",Y383="－",Y387="－"),"算出不能",ROUND(AVERAGE(Y379,Y383,Y387),3)))</f>
        <v/>
      </c>
      <c r="Z392" s="286"/>
      <c r="AA392" s="287"/>
    </row>
    <row r="393" spans="2:28" ht="9" customHeight="1" x14ac:dyDescent="0.15">
      <c r="Y393" s="12"/>
      <c r="AA393" s="12"/>
    </row>
    <row r="394" spans="2:28" ht="17.25" customHeight="1" x14ac:dyDescent="0.15">
      <c r="B394" s="1" t="s">
        <v>204</v>
      </c>
      <c r="Y394" s="12"/>
      <c r="AA394" s="169" t="str">
        <f t="shared" ref="AA394" si="30">IF(G$23="","",G$23)</f>
        <v/>
      </c>
    </row>
    <row r="395" spans="2:28" ht="17.25" customHeight="1" x14ac:dyDescent="0.15"/>
    <row r="396" spans="2:28" ht="17.25" customHeight="1" thickBot="1" x14ac:dyDescent="0.2">
      <c r="I396" s="329" t="s">
        <v>40</v>
      </c>
      <c r="J396" s="330"/>
      <c r="K396" s="330"/>
      <c r="L396" s="330"/>
      <c r="M396" s="330"/>
      <c r="N396" s="330"/>
      <c r="O396" s="330"/>
      <c r="P396" s="331"/>
      <c r="Q396" s="329" t="s">
        <v>41</v>
      </c>
      <c r="R396" s="330"/>
      <c r="S396" s="330"/>
      <c r="T396" s="330"/>
      <c r="U396" s="330"/>
      <c r="V396" s="330"/>
      <c r="W396" s="330"/>
      <c r="X396" s="331"/>
    </row>
    <row r="397" spans="2:28" s="9" customFormat="1" ht="40.5" customHeight="1" thickBot="1" x14ac:dyDescent="0.2">
      <c r="B397" s="332" t="s">
        <v>0</v>
      </c>
      <c r="C397" s="333"/>
      <c r="D397" s="334"/>
      <c r="E397" s="64"/>
      <c r="F397" s="335" t="s">
        <v>230</v>
      </c>
      <c r="G397" s="336"/>
      <c r="H397" s="337"/>
      <c r="I397" s="338" t="s">
        <v>221</v>
      </c>
      <c r="J397" s="339"/>
      <c r="K397" s="340" t="s">
        <v>180</v>
      </c>
      <c r="L397" s="341"/>
      <c r="M397" s="341"/>
      <c r="N397" s="342"/>
      <c r="O397" s="338" t="s">
        <v>181</v>
      </c>
      <c r="P397" s="337"/>
      <c r="Q397" s="338" t="s">
        <v>221</v>
      </c>
      <c r="R397" s="343"/>
      <c r="S397" s="340" t="s">
        <v>180</v>
      </c>
      <c r="T397" s="341"/>
      <c r="U397" s="341"/>
      <c r="V397" s="342"/>
      <c r="W397" s="338" t="s">
        <v>182</v>
      </c>
      <c r="X397" s="336"/>
      <c r="Y397" s="338" t="s">
        <v>169</v>
      </c>
      <c r="Z397" s="339"/>
      <c r="AA397" s="344"/>
    </row>
    <row r="398" spans="2:28" s="9" customFormat="1" ht="16.5" customHeight="1" x14ac:dyDescent="0.15">
      <c r="B398" s="345"/>
      <c r="C398" s="346"/>
      <c r="D398" s="347"/>
      <c r="E398" s="28" t="str">
        <f>IF(B398="","",B398&amp;F398)</f>
        <v/>
      </c>
      <c r="F398" s="293" t="str">
        <f>IF(AND($W$165="非該当",$B$398&lt;&gt;""),DATE(YEAR($I$27)-9,MONTH($I$27),DAY($I$27)),"")</f>
        <v/>
      </c>
      <c r="G398" s="294"/>
      <c r="H398" s="295"/>
      <c r="I398" s="296" t="str">
        <f>IF($B$398="","",VLOOKUP($E398,$E$153:$T$164,5,FALSE))</f>
        <v/>
      </c>
      <c r="J398" s="297"/>
      <c r="K398" s="298" t="str">
        <f>IF(B$398="","",P16)</f>
        <v/>
      </c>
      <c r="L398" s="299"/>
      <c r="M398" s="296" t="str">
        <f>IF($B$398="","",VLOOKUP($E398,$E$153:$T$164,7,FALSE))</f>
        <v/>
      </c>
      <c r="N398" s="297"/>
      <c r="O398" s="302" t="str">
        <f>IF(B$398="","",IF(I401&lt;1,"－",ROUND(M401/I401,3)))</f>
        <v/>
      </c>
      <c r="P398" s="303"/>
      <c r="Q398" s="296" t="str">
        <f>IF($B$398="","",VLOOKUP($E398,$E$153:$T$164,12,FALSE))</f>
        <v/>
      </c>
      <c r="R398" s="297"/>
      <c r="S398" s="298" t="str">
        <f>IF(B$398="","",P16)</f>
        <v/>
      </c>
      <c r="T398" s="299"/>
      <c r="U398" s="296" t="str">
        <f>IF($B$398="","",VLOOKUP($E398,$E$153:$T$164,14,FALSE))</f>
        <v/>
      </c>
      <c r="V398" s="297"/>
      <c r="W398" s="302" t="str">
        <f>IF(B$398="","",IF(Q401&lt;1,"－",ROUND(U401/Q401,3)))</f>
        <v/>
      </c>
      <c r="X398" s="303"/>
      <c r="Y398" s="308" t="s">
        <v>170</v>
      </c>
      <c r="Z398" s="309"/>
      <c r="AA398" s="310"/>
    </row>
    <row r="399" spans="2:28" s="9" customFormat="1" ht="16.5" customHeight="1" x14ac:dyDescent="0.15">
      <c r="B399" s="348"/>
      <c r="C399" s="349"/>
      <c r="D399" s="350"/>
      <c r="E399" s="28" t="str">
        <f>IF(B398="","",B398&amp;F399)</f>
        <v/>
      </c>
      <c r="F399" s="311" t="str">
        <f>IF(AND($W$165="非該当",$B$398&lt;&gt;""),DATE(YEAR($I$27)-10,MONTH($I$27),DAY($I$27)),"　　　　★")</f>
        <v>　　　　★</v>
      </c>
      <c r="G399" s="312"/>
      <c r="H399" s="313"/>
      <c r="I399" s="314" t="str">
        <f>IF($B$398="","",VLOOKUP($E399,$E$153:$T$164,5,FALSE))</f>
        <v/>
      </c>
      <c r="J399" s="315"/>
      <c r="K399" s="316" t="str">
        <f>IF(B$398="","★の10事業年度後在職者数","事業年度在職者数")</f>
        <v>★の10事業年度後在職者数</v>
      </c>
      <c r="L399" s="317"/>
      <c r="M399" s="314" t="str">
        <f>IF($B$398="","",VLOOKUP($E399,$E$153:$T$164,7,FALSE))</f>
        <v/>
      </c>
      <c r="N399" s="315"/>
      <c r="O399" s="304"/>
      <c r="P399" s="305"/>
      <c r="Q399" s="314" t="str">
        <f>IF($B$398="","",VLOOKUP($E399,$E$153:$T$164,12,FALSE))</f>
        <v/>
      </c>
      <c r="R399" s="315"/>
      <c r="S399" s="316" t="str">
        <f>IF(B$398="","★の10事業年度後在職者数","事業年度在職者数")</f>
        <v>★の10事業年度後在職者数</v>
      </c>
      <c r="T399" s="317"/>
      <c r="U399" s="314" t="str">
        <f>IF($B$398="","",VLOOKUP($E399,$E$153:$T$164,14,FALSE))</f>
        <v/>
      </c>
      <c r="V399" s="315"/>
      <c r="W399" s="304"/>
      <c r="X399" s="305"/>
      <c r="Y399" s="320" t="str">
        <f>IF(B$398="","",IF(OR(O398="－",W398="－",W398=0),"－",ROUND(O398/W398,2)))</f>
        <v/>
      </c>
      <c r="Z399" s="321"/>
      <c r="AA399" s="322"/>
    </row>
    <row r="400" spans="2:28" s="9" customFormat="1" ht="16.5" customHeight="1" x14ac:dyDescent="0.15">
      <c r="B400" s="348"/>
      <c r="C400" s="349"/>
      <c r="D400" s="350"/>
      <c r="E400" s="28" t="str">
        <f>IF(B398="","",B398&amp;F400)</f>
        <v/>
      </c>
      <c r="F400" s="323" t="str">
        <f>IF(AND($W$165="非該当",$B$398&lt;&gt;""),DATE(YEAR($I$27)-11,MONTH($I$27),DAY($I$27)),"")</f>
        <v/>
      </c>
      <c r="G400" s="324"/>
      <c r="H400" s="325"/>
      <c r="I400" s="314" t="str">
        <f>IF($B$398="","",VLOOKUP($E400,$E$153:$T$164,5,FALSE))</f>
        <v/>
      </c>
      <c r="J400" s="315"/>
      <c r="K400" s="316"/>
      <c r="L400" s="317"/>
      <c r="M400" s="314" t="str">
        <f>IF($B$398="","",VLOOKUP($E400,$E$153:$T$164,7,FALSE))</f>
        <v/>
      </c>
      <c r="N400" s="315"/>
      <c r="O400" s="304"/>
      <c r="P400" s="305"/>
      <c r="Q400" s="314" t="str">
        <f>IF($B$398="","",VLOOKUP($E400,$E$153:$T$164,12,FALSE))</f>
        <v/>
      </c>
      <c r="R400" s="315"/>
      <c r="S400" s="316"/>
      <c r="T400" s="317"/>
      <c r="U400" s="314" t="str">
        <f>IF($B$398="","",VLOOKUP($E400,$E$153:$T$164,14,FALSE))</f>
        <v/>
      </c>
      <c r="V400" s="315"/>
      <c r="W400" s="304"/>
      <c r="X400" s="305"/>
      <c r="Y400" s="320"/>
      <c r="Z400" s="321"/>
      <c r="AA400" s="322"/>
    </row>
    <row r="401" spans="2:28" s="9" customFormat="1" ht="16.5" customHeight="1" thickBot="1" x14ac:dyDescent="0.2">
      <c r="B401" s="348"/>
      <c r="C401" s="349"/>
      <c r="D401" s="350"/>
      <c r="E401" s="130"/>
      <c r="F401" s="326" t="s">
        <v>15</v>
      </c>
      <c r="G401" s="327"/>
      <c r="H401" s="328"/>
      <c r="I401" s="288" t="str">
        <f>IF($B$398="","",SUM(I398:J400))</f>
        <v/>
      </c>
      <c r="J401" s="289"/>
      <c r="K401" s="151"/>
      <c r="L401" s="152"/>
      <c r="M401" s="288" t="str">
        <f>IF($B$398="","",SUM(M398:N400))</f>
        <v/>
      </c>
      <c r="N401" s="289"/>
      <c r="O401" s="306"/>
      <c r="P401" s="307"/>
      <c r="Q401" s="288" t="str">
        <f>IF($B$398="","",SUM(Q398:R400))</f>
        <v/>
      </c>
      <c r="R401" s="289"/>
      <c r="S401" s="151"/>
      <c r="T401" s="152"/>
      <c r="U401" s="288" t="str">
        <f>IF($B$398="","",SUM(U398:V400))</f>
        <v/>
      </c>
      <c r="V401" s="289"/>
      <c r="W401" s="306"/>
      <c r="X401" s="307"/>
      <c r="Y401" s="290"/>
      <c r="Z401" s="291"/>
      <c r="AA401" s="292"/>
    </row>
    <row r="402" spans="2:28" s="9" customFormat="1" ht="16.5" customHeight="1" x14ac:dyDescent="0.15">
      <c r="B402" s="348"/>
      <c r="C402" s="349"/>
      <c r="D402" s="350"/>
      <c r="E402" s="130"/>
      <c r="F402" s="293" t="str">
        <f>IF(AND($W$165="非該当",$B$398&lt;&gt;""),DATE(YEAR($I$27)-10,MONTH($I$27),DAY($I$27)),"")</f>
        <v/>
      </c>
      <c r="G402" s="294"/>
      <c r="H402" s="295"/>
      <c r="I402" s="296" t="str">
        <f>IF(I399="","",I399)</f>
        <v/>
      </c>
      <c r="J402" s="297"/>
      <c r="K402" s="298" t="str">
        <f>IF(B$398="","",P17)</f>
        <v/>
      </c>
      <c r="L402" s="299"/>
      <c r="M402" s="300"/>
      <c r="N402" s="301"/>
      <c r="O402" s="302" t="str">
        <f>IF(B$398="","",IF(I405&lt;1,"－",ROUND(M405/I405,3)))</f>
        <v/>
      </c>
      <c r="P402" s="303"/>
      <c r="Q402" s="296" t="str">
        <f>IF(Q399="","",Q399)</f>
        <v/>
      </c>
      <c r="R402" s="297"/>
      <c r="S402" s="298" t="str">
        <f>IF(B$398="","",P17)</f>
        <v/>
      </c>
      <c r="T402" s="299"/>
      <c r="U402" s="300"/>
      <c r="V402" s="301"/>
      <c r="W402" s="302" t="str">
        <f>IF(B$398="","",IF(Q405&lt;1,"－",ROUND(U405/Q405,3)))</f>
        <v/>
      </c>
      <c r="X402" s="303"/>
      <c r="Y402" s="308" t="s">
        <v>171</v>
      </c>
      <c r="Z402" s="309"/>
      <c r="AA402" s="310"/>
    </row>
    <row r="403" spans="2:28" s="9" customFormat="1" ht="16.5" customHeight="1" x14ac:dyDescent="0.15">
      <c r="B403" s="348"/>
      <c r="C403" s="349"/>
      <c r="D403" s="350"/>
      <c r="E403" s="28" t="str">
        <f>IF(B398="","",B398&amp;F403&amp;"その2")</f>
        <v/>
      </c>
      <c r="F403" s="311" t="str">
        <f>IF(AND($W$165="非該当",$B$398&lt;&gt;""),DATE(YEAR($I$27)-11,MONTH($I$27),DAY($I$27)),"　　　　★")</f>
        <v>　　　　★</v>
      </c>
      <c r="G403" s="312"/>
      <c r="H403" s="313"/>
      <c r="I403" s="314" t="str">
        <f>IF(I400="","",I400)</f>
        <v/>
      </c>
      <c r="J403" s="315"/>
      <c r="K403" s="316" t="str">
        <f>IF(B$398="","★の10事業年度後在職者数","事業年度在職者数")</f>
        <v>★の10事業年度後在職者数</v>
      </c>
      <c r="L403" s="317"/>
      <c r="M403" s="318"/>
      <c r="N403" s="319"/>
      <c r="O403" s="304"/>
      <c r="P403" s="305"/>
      <c r="Q403" s="314" t="str">
        <f>IF(Q400="","",Q400)</f>
        <v/>
      </c>
      <c r="R403" s="315"/>
      <c r="S403" s="316" t="str">
        <f>IF(B$398="","★の10事業年度後在職者数","事業年度在職者数")</f>
        <v>★の10事業年度後在職者数</v>
      </c>
      <c r="T403" s="317"/>
      <c r="U403" s="318"/>
      <c r="V403" s="319"/>
      <c r="W403" s="304"/>
      <c r="X403" s="305"/>
      <c r="Y403" s="320" t="str">
        <f>IF(B$398="","",IF(OR(O402="－",W402="－",W402=0),"－",ROUND(O402/W402,2)))</f>
        <v/>
      </c>
      <c r="Z403" s="321"/>
      <c r="AA403" s="322"/>
    </row>
    <row r="404" spans="2:28" s="9" customFormat="1" ht="16.5" customHeight="1" x14ac:dyDescent="0.15">
      <c r="B404" s="348"/>
      <c r="C404" s="349"/>
      <c r="D404" s="350"/>
      <c r="E404" s="130"/>
      <c r="F404" s="323" t="str">
        <f>IF(AND($W$165="非該当",$B$398&lt;&gt;""),DATE(YEAR($I$27)-12,MONTH($I$27),DAY($I$27)),"")</f>
        <v/>
      </c>
      <c r="G404" s="324"/>
      <c r="H404" s="325"/>
      <c r="I404" s="318"/>
      <c r="J404" s="319"/>
      <c r="K404" s="316"/>
      <c r="L404" s="317"/>
      <c r="M404" s="318"/>
      <c r="N404" s="319"/>
      <c r="O404" s="304"/>
      <c r="P404" s="305"/>
      <c r="Q404" s="318"/>
      <c r="R404" s="319"/>
      <c r="S404" s="316"/>
      <c r="T404" s="317"/>
      <c r="U404" s="318"/>
      <c r="V404" s="319"/>
      <c r="W404" s="304"/>
      <c r="X404" s="305"/>
      <c r="Y404" s="320"/>
      <c r="Z404" s="321"/>
      <c r="AA404" s="322"/>
    </row>
    <row r="405" spans="2:28" s="9" customFormat="1" ht="16.5" customHeight="1" thickBot="1" x14ac:dyDescent="0.2">
      <c r="B405" s="348"/>
      <c r="C405" s="349"/>
      <c r="D405" s="350"/>
      <c r="E405" s="130"/>
      <c r="F405" s="326" t="s">
        <v>15</v>
      </c>
      <c r="G405" s="327"/>
      <c r="H405" s="328"/>
      <c r="I405" s="288" t="str">
        <f>IF($B$398="","",SUM(I402:J404))</f>
        <v/>
      </c>
      <c r="J405" s="289"/>
      <c r="K405" s="151"/>
      <c r="L405" s="152"/>
      <c r="M405" s="288" t="str">
        <f>IF($B$398="","",SUM(M402:N404))</f>
        <v/>
      </c>
      <c r="N405" s="289"/>
      <c r="O405" s="306"/>
      <c r="P405" s="307"/>
      <c r="Q405" s="288" t="str">
        <f>IF($B$398="","",SUM(Q402:R404))</f>
        <v/>
      </c>
      <c r="R405" s="289"/>
      <c r="S405" s="151"/>
      <c r="T405" s="152"/>
      <c r="U405" s="288" t="str">
        <f>IF($B$398="","",SUM(U402:V404))</f>
        <v/>
      </c>
      <c r="V405" s="289"/>
      <c r="W405" s="306"/>
      <c r="X405" s="307"/>
      <c r="Y405" s="290"/>
      <c r="Z405" s="291"/>
      <c r="AA405" s="292"/>
    </row>
    <row r="406" spans="2:28" s="9" customFormat="1" ht="16.5" customHeight="1" x14ac:dyDescent="0.15">
      <c r="B406" s="348"/>
      <c r="C406" s="349"/>
      <c r="D406" s="350"/>
      <c r="E406" s="130"/>
      <c r="F406" s="293" t="str">
        <f>IF(AND($W$165="非該当",$B$398&lt;&gt;""),DATE(YEAR($I$27)-11,MONTH($I$27),DAY($I$27)),"")</f>
        <v/>
      </c>
      <c r="G406" s="294"/>
      <c r="H406" s="295"/>
      <c r="I406" s="296" t="str">
        <f>IF(I403="","",I403)</f>
        <v/>
      </c>
      <c r="J406" s="297"/>
      <c r="K406" s="298" t="str">
        <f>IF(B$398="","",P18)</f>
        <v/>
      </c>
      <c r="L406" s="299"/>
      <c r="M406" s="300"/>
      <c r="N406" s="301"/>
      <c r="O406" s="302" t="str">
        <f>IF(B$398="","",IF(I409&lt;1,"－",ROUND(M409/I409,3)))</f>
        <v/>
      </c>
      <c r="P406" s="303"/>
      <c r="Q406" s="296" t="str">
        <f>IF(Q403="","",Q403)</f>
        <v/>
      </c>
      <c r="R406" s="297"/>
      <c r="S406" s="298" t="str">
        <f>IF(B$398="","",P18)</f>
        <v/>
      </c>
      <c r="T406" s="299"/>
      <c r="U406" s="300"/>
      <c r="V406" s="301"/>
      <c r="W406" s="302" t="str">
        <f>IF(B$398="","",IF(Q409&lt;1,"－",ROUND(U409/Q409,3)))</f>
        <v/>
      </c>
      <c r="X406" s="303"/>
      <c r="Y406" s="308" t="s">
        <v>172</v>
      </c>
      <c r="Z406" s="309"/>
      <c r="AA406" s="310"/>
    </row>
    <row r="407" spans="2:28" s="9" customFormat="1" ht="16.5" customHeight="1" x14ac:dyDescent="0.15">
      <c r="B407" s="348"/>
      <c r="C407" s="349"/>
      <c r="D407" s="350"/>
      <c r="E407" s="28" t="str">
        <f>IF(B398="","",B398&amp;F407)</f>
        <v/>
      </c>
      <c r="F407" s="311" t="str">
        <f>IF(AND($W$165="非該当",$B$398&lt;&gt;""),DATE(YEAR($I$27)-12,MONTH($I$27),DAY($I$27)),"　　　　★")</f>
        <v>　　　　★</v>
      </c>
      <c r="G407" s="312"/>
      <c r="H407" s="313"/>
      <c r="I407" s="314" t="str">
        <f>IF(I404="","",I404)</f>
        <v/>
      </c>
      <c r="J407" s="315"/>
      <c r="K407" s="316" t="str">
        <f>IF(B$398="","★の10事業年度後在職者数","事業年度在職者数")</f>
        <v>★の10事業年度後在職者数</v>
      </c>
      <c r="L407" s="317"/>
      <c r="M407" s="318"/>
      <c r="N407" s="319"/>
      <c r="O407" s="304"/>
      <c r="P407" s="305"/>
      <c r="Q407" s="314" t="str">
        <f>IF(Q404="","",Q404)</f>
        <v/>
      </c>
      <c r="R407" s="315"/>
      <c r="S407" s="316" t="str">
        <f>IF(B$398="","★の10事業年度後在職者数","事業年度在職者数")</f>
        <v>★の10事業年度後在職者数</v>
      </c>
      <c r="T407" s="317"/>
      <c r="U407" s="318"/>
      <c r="V407" s="319"/>
      <c r="W407" s="304"/>
      <c r="X407" s="305"/>
      <c r="Y407" s="320" t="str">
        <f>IF(B$398="","",IF(OR(O406="－",W406="－",W406=0),"－",ROUND(O406/W406,2)))</f>
        <v/>
      </c>
      <c r="Z407" s="321"/>
      <c r="AA407" s="322"/>
    </row>
    <row r="408" spans="2:28" s="9" customFormat="1" ht="16.5" customHeight="1" x14ac:dyDescent="0.15">
      <c r="B408" s="348"/>
      <c r="C408" s="349"/>
      <c r="D408" s="350"/>
      <c r="E408" s="130"/>
      <c r="F408" s="323" t="str">
        <f>IF(AND($W$165="非該当",$B$398&lt;&gt;""),DATE(YEAR($I$27)-13,MONTH($I$27),DAY($I$27)),"")</f>
        <v/>
      </c>
      <c r="G408" s="324"/>
      <c r="H408" s="325"/>
      <c r="I408" s="318"/>
      <c r="J408" s="319"/>
      <c r="K408" s="316"/>
      <c r="L408" s="317"/>
      <c r="M408" s="318"/>
      <c r="N408" s="319"/>
      <c r="O408" s="304"/>
      <c r="P408" s="305"/>
      <c r="Q408" s="318"/>
      <c r="R408" s="319"/>
      <c r="S408" s="316"/>
      <c r="T408" s="317"/>
      <c r="U408" s="318"/>
      <c r="V408" s="319"/>
      <c r="W408" s="304"/>
      <c r="X408" s="305"/>
      <c r="Y408" s="320"/>
      <c r="Z408" s="321"/>
      <c r="AA408" s="322"/>
    </row>
    <row r="409" spans="2:28" s="9" customFormat="1" ht="16.5" customHeight="1" thickBot="1" x14ac:dyDescent="0.2">
      <c r="B409" s="348"/>
      <c r="C409" s="349"/>
      <c r="D409" s="350"/>
      <c r="E409" s="130"/>
      <c r="F409" s="326" t="s">
        <v>15</v>
      </c>
      <c r="G409" s="327"/>
      <c r="H409" s="328"/>
      <c r="I409" s="288" t="str">
        <f>IF($B$398="","",SUM(I406:J408))</f>
        <v/>
      </c>
      <c r="J409" s="289"/>
      <c r="K409" s="151"/>
      <c r="L409" s="152"/>
      <c r="M409" s="288" t="str">
        <f>IF($B$398="","",SUM(M406:N408))</f>
        <v/>
      </c>
      <c r="N409" s="289"/>
      <c r="O409" s="306"/>
      <c r="P409" s="307"/>
      <c r="Q409" s="288" t="str">
        <f>IF($B$398="","",SUM(Q406:R408))</f>
        <v/>
      </c>
      <c r="R409" s="289"/>
      <c r="S409" s="151"/>
      <c r="T409" s="152"/>
      <c r="U409" s="288" t="str">
        <f>IF($B$398="","",SUM(U406:V408))</f>
        <v/>
      </c>
      <c r="V409" s="289"/>
      <c r="W409" s="306"/>
      <c r="X409" s="307"/>
      <c r="Y409" s="290"/>
      <c r="Z409" s="291"/>
      <c r="AA409" s="292"/>
    </row>
    <row r="410" spans="2:28" s="9" customFormat="1" ht="16.5" customHeight="1" x14ac:dyDescent="0.15">
      <c r="B410" s="348"/>
      <c r="C410" s="349"/>
      <c r="D410" s="350"/>
      <c r="E410" s="130"/>
      <c r="F410" s="293" t="str">
        <f>IF(AND($W$165="非該当",$B$398&lt;&gt;""),DATE(YEAR($I$27)-12,MONTH($I$27),DAY($I$27)),"")</f>
        <v/>
      </c>
      <c r="G410" s="294"/>
      <c r="H410" s="295"/>
      <c r="I410" s="296" t="str">
        <f>IF(I407="","",I407)</f>
        <v/>
      </c>
      <c r="J410" s="297"/>
      <c r="K410" s="298" t="str">
        <f>IF(B$398="","",P19)</f>
        <v/>
      </c>
      <c r="L410" s="299"/>
      <c r="M410" s="300"/>
      <c r="N410" s="301"/>
      <c r="O410" s="302" t="str">
        <f>IF(B$398="","",IF(I413&lt;1,"－",ROUND(M413/I413,3)))</f>
        <v/>
      </c>
      <c r="P410" s="303"/>
      <c r="Q410" s="296" t="str">
        <f>IF(Q407="","",Q407)</f>
        <v/>
      </c>
      <c r="R410" s="297"/>
      <c r="S410" s="298" t="str">
        <f>IF(B$398="","",P19)</f>
        <v/>
      </c>
      <c r="T410" s="299"/>
      <c r="U410" s="300"/>
      <c r="V410" s="301"/>
      <c r="W410" s="302" t="str">
        <f>IF(B$398="","",IF(Q413&lt;1,"－",ROUND(U413/Q413,3)))</f>
        <v/>
      </c>
      <c r="X410" s="303"/>
      <c r="Y410" s="308" t="s">
        <v>173</v>
      </c>
      <c r="Z410" s="309"/>
      <c r="AA410" s="310"/>
      <c r="AB410" s="62"/>
    </row>
    <row r="411" spans="2:28" s="9" customFormat="1" ht="16.5" customHeight="1" x14ac:dyDescent="0.15">
      <c r="B411" s="348"/>
      <c r="C411" s="349"/>
      <c r="D411" s="350"/>
      <c r="E411" s="28" t="str">
        <f>IF(B398="","",B398&amp;F411)</f>
        <v/>
      </c>
      <c r="F411" s="311" t="str">
        <f>IF(AND($W$165="非該当",$B$398&lt;&gt;""),DATE(YEAR($I$27)-13,MONTH($I$27),DAY($I$27)),"　　　　★")</f>
        <v>　　　　★</v>
      </c>
      <c r="G411" s="312"/>
      <c r="H411" s="313"/>
      <c r="I411" s="314" t="str">
        <f>IF(I408="","",I408)</f>
        <v/>
      </c>
      <c r="J411" s="315"/>
      <c r="K411" s="316" t="str">
        <f>IF(B$398="","★の10事業年度後在職者数","事業年度在職者数")</f>
        <v>★の10事業年度後在職者数</v>
      </c>
      <c r="L411" s="317"/>
      <c r="M411" s="318"/>
      <c r="N411" s="319"/>
      <c r="O411" s="304"/>
      <c r="P411" s="305"/>
      <c r="Q411" s="314" t="str">
        <f>IF(Q408="","",Q408)</f>
        <v/>
      </c>
      <c r="R411" s="315"/>
      <c r="S411" s="316" t="str">
        <f>IF(B$398="","★の10事業年度後在職者数","事業年度在職者数")</f>
        <v>★の10事業年度後在職者数</v>
      </c>
      <c r="T411" s="317"/>
      <c r="U411" s="318"/>
      <c r="V411" s="319"/>
      <c r="W411" s="304"/>
      <c r="X411" s="305"/>
      <c r="Y411" s="320" t="str">
        <f>IF(B$398="","",IF(OR(O410="－",W410="－",W410=0),"－",ROUND(O410/W410,2)))</f>
        <v/>
      </c>
      <c r="Z411" s="321"/>
      <c r="AA411" s="322"/>
      <c r="AB411" s="62"/>
    </row>
    <row r="412" spans="2:28" s="9" customFormat="1" ht="16.5" customHeight="1" x14ac:dyDescent="0.15">
      <c r="B412" s="348"/>
      <c r="C412" s="349"/>
      <c r="D412" s="350"/>
      <c r="E412" s="130"/>
      <c r="F412" s="323" t="str">
        <f>IF(AND($W$165="非該当",$B$398&lt;&gt;""),DATE(YEAR($I$27)-14,MONTH($I$27),DAY($I$27)),"")</f>
        <v/>
      </c>
      <c r="G412" s="324"/>
      <c r="H412" s="325"/>
      <c r="I412" s="318"/>
      <c r="J412" s="319"/>
      <c r="K412" s="316"/>
      <c r="L412" s="317"/>
      <c r="M412" s="318"/>
      <c r="N412" s="319"/>
      <c r="O412" s="304"/>
      <c r="P412" s="305"/>
      <c r="Q412" s="318"/>
      <c r="R412" s="319"/>
      <c r="S412" s="316"/>
      <c r="T412" s="317"/>
      <c r="U412" s="318"/>
      <c r="V412" s="319"/>
      <c r="W412" s="304"/>
      <c r="X412" s="305"/>
      <c r="Y412" s="320"/>
      <c r="Z412" s="321"/>
      <c r="AA412" s="322"/>
      <c r="AB412" s="62"/>
    </row>
    <row r="413" spans="2:28" s="9" customFormat="1" ht="16.5" customHeight="1" thickBot="1" x14ac:dyDescent="0.2">
      <c r="B413" s="348"/>
      <c r="C413" s="349"/>
      <c r="D413" s="350"/>
      <c r="E413" s="130"/>
      <c r="F413" s="326" t="s">
        <v>15</v>
      </c>
      <c r="G413" s="327"/>
      <c r="H413" s="328"/>
      <c r="I413" s="288" t="str">
        <f>IF($B$398="","",SUM(I410:J412))</f>
        <v/>
      </c>
      <c r="J413" s="289"/>
      <c r="K413" s="151"/>
      <c r="L413" s="152"/>
      <c r="M413" s="288" t="str">
        <f>IF($B$398="","",SUM(M410:N412))</f>
        <v/>
      </c>
      <c r="N413" s="289"/>
      <c r="O413" s="306"/>
      <c r="P413" s="307"/>
      <c r="Q413" s="288" t="str">
        <f>IF($B$398="","",SUM(Q410:R412))</f>
        <v/>
      </c>
      <c r="R413" s="289"/>
      <c r="S413" s="151"/>
      <c r="T413" s="152"/>
      <c r="U413" s="288" t="str">
        <f>IF($B$398="","",SUM(U410:V412))</f>
        <v/>
      </c>
      <c r="V413" s="289"/>
      <c r="W413" s="306"/>
      <c r="X413" s="307"/>
      <c r="Y413" s="290"/>
      <c r="Z413" s="291"/>
      <c r="AA413" s="292"/>
      <c r="AB413" s="62"/>
    </row>
    <row r="414" spans="2:28" s="9" customFormat="1" ht="16.5" customHeight="1" x14ac:dyDescent="0.15">
      <c r="B414" s="348"/>
      <c r="C414" s="349"/>
      <c r="D414" s="350"/>
      <c r="E414" s="130"/>
      <c r="F414" s="293" t="str">
        <f>IF(AND($W$165="非該当",$B$398&lt;&gt;""),DATE(YEAR($I$27)-13,MONTH($I$27),DAY($I$27)),"")</f>
        <v/>
      </c>
      <c r="G414" s="294"/>
      <c r="H414" s="295"/>
      <c r="I414" s="296" t="str">
        <f>IF(I411="","",I411)</f>
        <v/>
      </c>
      <c r="J414" s="297"/>
      <c r="K414" s="298" t="str">
        <f>IF(B$398="","",P20)</f>
        <v/>
      </c>
      <c r="L414" s="299"/>
      <c r="M414" s="300"/>
      <c r="N414" s="301"/>
      <c r="O414" s="302" t="str">
        <f>IF(B$398="","",IF(I417&lt;1,"－",ROUND(M417/I417,3)))</f>
        <v/>
      </c>
      <c r="P414" s="303"/>
      <c r="Q414" s="296" t="str">
        <f>IF(Q411="","",Q411)</f>
        <v/>
      </c>
      <c r="R414" s="297"/>
      <c r="S414" s="298" t="str">
        <f>IF(B$398="","",P20)</f>
        <v/>
      </c>
      <c r="T414" s="299"/>
      <c r="U414" s="300"/>
      <c r="V414" s="301"/>
      <c r="W414" s="302" t="str">
        <f>IF(B$398="","",IF(Q417&lt;1,"－",ROUND(U417/Q417,3)))</f>
        <v/>
      </c>
      <c r="X414" s="303"/>
      <c r="Y414" s="308" t="s">
        <v>174</v>
      </c>
      <c r="Z414" s="309"/>
      <c r="AA414" s="310"/>
    </row>
    <row r="415" spans="2:28" s="9" customFormat="1" ht="16.5" customHeight="1" x14ac:dyDescent="0.15">
      <c r="B415" s="348"/>
      <c r="C415" s="349"/>
      <c r="D415" s="350"/>
      <c r="E415" s="28" t="str">
        <f>IF(B398="","",B398&amp;F415)</f>
        <v/>
      </c>
      <c r="F415" s="311" t="str">
        <f>IF(AND($W$165="非該当",$B$398&lt;&gt;""),DATE(YEAR($I$27)-14,MONTH($I$27),DAY($I$27)),"　　　　★")</f>
        <v>　　　　★</v>
      </c>
      <c r="G415" s="312"/>
      <c r="H415" s="313"/>
      <c r="I415" s="314" t="str">
        <f>IF(I412="","",I412)</f>
        <v/>
      </c>
      <c r="J415" s="315"/>
      <c r="K415" s="316" t="str">
        <f>IF(B$398="","★の10事業年度後在職者数","事業年度在職者数")</f>
        <v>★の10事業年度後在職者数</v>
      </c>
      <c r="L415" s="317"/>
      <c r="M415" s="318"/>
      <c r="N415" s="319"/>
      <c r="O415" s="304"/>
      <c r="P415" s="305"/>
      <c r="Q415" s="314" t="str">
        <f>IF(Q412="","",Q412)</f>
        <v/>
      </c>
      <c r="R415" s="315"/>
      <c r="S415" s="316" t="str">
        <f>IF(B$398="","★の10事業年度後在職者数","事業年度在職者数")</f>
        <v>★の10事業年度後在職者数</v>
      </c>
      <c r="T415" s="317"/>
      <c r="U415" s="318"/>
      <c r="V415" s="319"/>
      <c r="W415" s="304"/>
      <c r="X415" s="305"/>
      <c r="Y415" s="320" t="str">
        <f>IF(B$398="","",IF(OR(O414="－",W414="－",W414=0),"－",ROUND(O414/W414,2)))</f>
        <v/>
      </c>
      <c r="Z415" s="321"/>
      <c r="AA415" s="322"/>
    </row>
    <row r="416" spans="2:28" s="9" customFormat="1" ht="16.5" customHeight="1" x14ac:dyDescent="0.15">
      <c r="B416" s="348"/>
      <c r="C416" s="349"/>
      <c r="D416" s="350"/>
      <c r="E416" s="130"/>
      <c r="F416" s="323" t="str">
        <f>IF(AND($W$165="非該当",$B$398&lt;&gt;""),DATE(YEAR($I$27)-15,MONTH($I$27),DAY($I$27)),"")</f>
        <v/>
      </c>
      <c r="G416" s="324"/>
      <c r="H416" s="325"/>
      <c r="I416" s="318"/>
      <c r="J416" s="319"/>
      <c r="K416" s="316"/>
      <c r="L416" s="317"/>
      <c r="M416" s="318"/>
      <c r="N416" s="319"/>
      <c r="O416" s="304"/>
      <c r="P416" s="305"/>
      <c r="Q416" s="318"/>
      <c r="R416" s="319"/>
      <c r="S416" s="316"/>
      <c r="T416" s="317"/>
      <c r="U416" s="318"/>
      <c r="V416" s="319"/>
      <c r="W416" s="304"/>
      <c r="X416" s="305"/>
      <c r="Y416" s="320"/>
      <c r="Z416" s="321"/>
      <c r="AA416" s="322"/>
    </row>
    <row r="417" spans="2:27" s="9" customFormat="1" ht="16.5" customHeight="1" thickBot="1" x14ac:dyDescent="0.2">
      <c r="B417" s="348"/>
      <c r="C417" s="349"/>
      <c r="D417" s="350"/>
      <c r="E417" s="130"/>
      <c r="F417" s="326" t="s">
        <v>15</v>
      </c>
      <c r="G417" s="327"/>
      <c r="H417" s="328"/>
      <c r="I417" s="288" t="str">
        <f>IF($B$398="","",SUM(I414:J416))</f>
        <v/>
      </c>
      <c r="J417" s="289"/>
      <c r="K417" s="151"/>
      <c r="L417" s="152"/>
      <c r="M417" s="288" t="str">
        <f>IF($B$398="","",SUM(M414:N416))</f>
        <v/>
      </c>
      <c r="N417" s="289"/>
      <c r="O417" s="306"/>
      <c r="P417" s="307"/>
      <c r="Q417" s="288" t="str">
        <f>IF($B$398="","",SUM(Q414:R416))</f>
        <v/>
      </c>
      <c r="R417" s="289"/>
      <c r="S417" s="151"/>
      <c r="T417" s="152"/>
      <c r="U417" s="288" t="str">
        <f>IF($B$398="","",SUM(U414:V416))</f>
        <v/>
      </c>
      <c r="V417" s="289"/>
      <c r="W417" s="306"/>
      <c r="X417" s="307"/>
      <c r="Y417" s="290"/>
      <c r="Z417" s="291"/>
      <c r="AA417" s="292"/>
    </row>
    <row r="418" spans="2:27" s="9" customFormat="1" ht="16.5" customHeight="1" x14ac:dyDescent="0.15">
      <c r="B418" s="348"/>
      <c r="C418" s="349"/>
      <c r="D418" s="350"/>
      <c r="E418" s="28" t="str">
        <f>B398&amp;1</f>
        <v>1</v>
      </c>
      <c r="F418" s="109" t="str">
        <f>IF(F408=""," 9～13年前採用者の３事業年度ごと継続雇用割合男女比の平均（ア～ウの平均）",S15&amp;"～"&amp;T19&amp;"採用者の３事業年度ごと継続雇用割合男女比の平均（ア～ウの平均）")</f>
        <v xml:space="preserve"> 9～13年前採用者の３事業年度ごと継続雇用割合男女比の平均（ア～ウの平均）</v>
      </c>
      <c r="G418" s="110"/>
      <c r="H418" s="110"/>
      <c r="I418" s="110"/>
      <c r="J418" s="110"/>
      <c r="K418" s="149"/>
      <c r="L418" s="149"/>
      <c r="M418" s="110"/>
      <c r="N418" s="149"/>
      <c r="O418" s="110"/>
      <c r="P418" s="110"/>
      <c r="Q418" s="110"/>
      <c r="R418" s="110"/>
      <c r="S418" s="149"/>
      <c r="T418" s="149"/>
      <c r="U418" s="110"/>
      <c r="V418" s="149"/>
      <c r="W418" s="110"/>
      <c r="X418" s="111"/>
      <c r="Y418" s="279" t="str">
        <f>IF(B398="","",IF(OR(Y399="－",Y403="－",Y407="－"),"算出不能",ROUND(AVERAGE(Y399,Y403,Y407),3)))</f>
        <v/>
      </c>
      <c r="Z418" s="280"/>
      <c r="AA418" s="281"/>
    </row>
    <row r="419" spans="2:27" s="9" customFormat="1" ht="16.5" customHeight="1" x14ac:dyDescent="0.15">
      <c r="B419" s="348"/>
      <c r="C419" s="349"/>
      <c r="D419" s="350"/>
      <c r="E419" s="28" t="str">
        <f>B398&amp;2</f>
        <v>2</v>
      </c>
      <c r="F419" s="104" t="str">
        <f>IF(F412="","10～14年前採用者の　　　　　　　　〃　　　　　　　　　　（イ～エの平均）",S16&amp;"～"&amp;T20&amp;"採用者の　　　　　　　　〃　　　　　　　　　　（イ～エの平均）")</f>
        <v>10～14年前採用者の　　　　　　　　〃　　　　　　　　　　（イ～エの平均）</v>
      </c>
      <c r="G419" s="67"/>
      <c r="H419" s="67"/>
      <c r="I419" s="67"/>
      <c r="J419" s="67"/>
      <c r="K419" s="67"/>
      <c r="L419" s="67"/>
      <c r="M419" s="67"/>
      <c r="N419" s="67"/>
      <c r="O419" s="131"/>
      <c r="P419" s="131"/>
      <c r="Q419" s="131"/>
      <c r="R419" s="131"/>
      <c r="S419" s="67"/>
      <c r="T419" s="67"/>
      <c r="U419" s="68"/>
      <c r="V419" s="67"/>
      <c r="W419" s="68"/>
      <c r="X419" s="69"/>
      <c r="Y419" s="282" t="str">
        <f>IF(B398="","",IF(OR(Y403="－",Y407="－",Y411="－"),"算出不能",ROUND(AVERAGE(Y403,Y407,Y411),3)))</f>
        <v/>
      </c>
      <c r="Z419" s="283"/>
      <c r="AA419" s="284"/>
    </row>
    <row r="420" spans="2:27" ht="16.5" customHeight="1" thickBot="1" x14ac:dyDescent="0.2">
      <c r="B420" s="351"/>
      <c r="C420" s="352"/>
      <c r="D420" s="353"/>
      <c r="E420" s="28" t="str">
        <f>B398&amp;3</f>
        <v>3</v>
      </c>
      <c r="F420" s="105" t="str">
        <f>IF(F416="","11～15年前採用者の　　　　　　　　〃　　　　　　　　　　（ウ～オの平均）",S17&amp;"～"&amp;T21&amp;"採用者の　　　　　　　　〃　　　　　　　　　　（ウ～オの平均）")</f>
        <v>11～15年前採用者の　　　　　　　　〃　　　　　　　　　　（ウ～オの平均）</v>
      </c>
      <c r="G420" s="106"/>
      <c r="H420" s="106"/>
      <c r="I420" s="106"/>
      <c r="J420" s="106"/>
      <c r="K420" s="106"/>
      <c r="L420" s="106"/>
      <c r="M420" s="106"/>
      <c r="N420" s="106"/>
      <c r="O420" s="106"/>
      <c r="P420" s="106"/>
      <c r="Q420" s="106"/>
      <c r="R420" s="106"/>
      <c r="S420" s="106"/>
      <c r="T420" s="106"/>
      <c r="U420" s="107"/>
      <c r="V420" s="106"/>
      <c r="W420" s="107"/>
      <c r="X420" s="108"/>
      <c r="Y420" s="285" t="str">
        <f>IF(B398="","",IF(OR(Y407="－",Y411="－",Y415="－"),"算出不能",ROUND(AVERAGE(Y407,Y411,Y415),3)))</f>
        <v/>
      </c>
      <c r="Z420" s="286"/>
      <c r="AA420" s="287"/>
    </row>
    <row r="422" spans="2:27" ht="17.25" customHeight="1" x14ac:dyDescent="0.15"/>
    <row r="423" spans="2:27" ht="17.25" customHeight="1" x14ac:dyDescent="0.15"/>
    <row r="424" spans="2:27" ht="17.25" customHeight="1" x14ac:dyDescent="0.15"/>
    <row r="425" spans="2:27" ht="17.25" customHeight="1" x14ac:dyDescent="0.15"/>
    <row r="426" spans="2:27" ht="17.25" customHeight="1" x14ac:dyDescent="0.15"/>
    <row r="427" spans="2:27" ht="17.25" customHeight="1" x14ac:dyDescent="0.15"/>
    <row r="428" spans="2:27" ht="17.25" customHeight="1" x14ac:dyDescent="0.15"/>
    <row r="429" spans="2:27" ht="17.25" customHeight="1" x14ac:dyDescent="0.15"/>
    <row r="430" spans="2:27" ht="17.25" customHeight="1" x14ac:dyDescent="0.15"/>
    <row r="431" spans="2:27" ht="17.25" customHeight="1" x14ac:dyDescent="0.15"/>
    <row r="432" spans="2:27" ht="17.25" customHeight="1" x14ac:dyDescent="0.15"/>
    <row r="433" ht="17.25" customHeight="1" x14ac:dyDescent="0.15"/>
    <row r="434" ht="17.25" customHeight="1" x14ac:dyDescent="0.15"/>
    <row r="435" ht="17.25" customHeight="1" x14ac:dyDescent="0.15"/>
    <row r="436" ht="17.25" customHeight="1" x14ac:dyDescent="0.15"/>
    <row r="437" ht="17.25" customHeight="1" x14ac:dyDescent="0.15"/>
    <row r="438" ht="17.25" customHeight="1" x14ac:dyDescent="0.15"/>
    <row r="439" ht="17.25" customHeight="1" x14ac:dyDescent="0.15"/>
    <row r="440" ht="17.25" customHeight="1" x14ac:dyDescent="0.15"/>
    <row r="441" ht="17.25" customHeight="1" x14ac:dyDescent="0.15"/>
    <row r="442" ht="17.25" customHeight="1" x14ac:dyDescent="0.15"/>
    <row r="443" ht="17.25" customHeight="1" x14ac:dyDescent="0.15"/>
    <row r="444" ht="17.25" customHeight="1" x14ac:dyDescent="0.15"/>
    <row r="445" ht="17.25" customHeight="1" x14ac:dyDescent="0.15"/>
    <row r="446" ht="17.25" customHeight="1" x14ac:dyDescent="0.15"/>
    <row r="447" ht="17.25" customHeight="1" x14ac:dyDescent="0.15"/>
    <row r="448" ht="17.25" customHeight="1" x14ac:dyDescent="0.15"/>
    <row r="449" ht="17.25" customHeight="1" x14ac:dyDescent="0.15"/>
    <row r="450" ht="17.25" customHeight="1" x14ac:dyDescent="0.15"/>
    <row r="451" ht="17.25" customHeight="1" x14ac:dyDescent="0.15"/>
    <row r="452" ht="17.25" customHeight="1" x14ac:dyDescent="0.15"/>
    <row r="453" ht="17.25" customHeight="1" x14ac:dyDescent="0.15"/>
    <row r="454" ht="19.5" customHeight="1" x14ac:dyDescent="0.15"/>
    <row r="455" ht="19.5" customHeight="1" x14ac:dyDescent="0.15"/>
    <row r="456" ht="19.5" customHeight="1" x14ac:dyDescent="0.15"/>
    <row r="457" ht="19.5" customHeight="1" x14ac:dyDescent="0.15"/>
    <row r="458" ht="19.5" customHeight="1" x14ac:dyDescent="0.15"/>
    <row r="459" ht="19.5" customHeight="1" x14ac:dyDescent="0.15"/>
    <row r="460" ht="19.5" customHeight="1" x14ac:dyDescent="0.15"/>
    <row r="461" ht="19.5" customHeight="1" x14ac:dyDescent="0.15"/>
    <row r="462" ht="19.5" customHeight="1" x14ac:dyDescent="0.15"/>
    <row r="463" ht="19.5" customHeight="1" x14ac:dyDescent="0.15"/>
    <row r="464" ht="19.5" customHeight="1" x14ac:dyDescent="0.15"/>
    <row r="465" ht="19.5" customHeight="1" x14ac:dyDescent="0.15"/>
    <row r="466" ht="19.5" customHeight="1" x14ac:dyDescent="0.15"/>
    <row r="467" ht="19.5" customHeight="1" x14ac:dyDescent="0.15"/>
    <row r="468" ht="19.5" customHeight="1" x14ac:dyDescent="0.15"/>
    <row r="469" ht="19.5" customHeight="1" x14ac:dyDescent="0.15"/>
    <row r="470" ht="19.5" customHeight="1" x14ac:dyDescent="0.15"/>
    <row r="471" ht="19.5" customHeight="1" x14ac:dyDescent="0.15"/>
    <row r="472" ht="19.5" customHeight="1" x14ac:dyDescent="0.15"/>
    <row r="473" ht="19.5" customHeight="1" x14ac:dyDescent="0.15"/>
    <row r="474" ht="19.5" customHeight="1" x14ac:dyDescent="0.15"/>
    <row r="475" ht="19.5" customHeight="1" x14ac:dyDescent="0.15"/>
    <row r="476" ht="19.5" customHeight="1" x14ac:dyDescent="0.15"/>
    <row r="477" ht="19.5" customHeight="1" x14ac:dyDescent="0.15"/>
    <row r="478" ht="19.5" customHeight="1" x14ac:dyDescent="0.15"/>
    <row r="479" ht="19.5" customHeight="1" x14ac:dyDescent="0.15"/>
    <row r="480" ht="19.5" customHeight="1" x14ac:dyDescent="0.15"/>
    <row r="481" ht="19.5" customHeight="1" x14ac:dyDescent="0.15"/>
    <row r="482" ht="19.5" customHeight="1" x14ac:dyDescent="0.15"/>
    <row r="483" ht="19.5" customHeight="1" x14ac:dyDescent="0.15"/>
    <row r="484" ht="19.5" customHeight="1" x14ac:dyDescent="0.15"/>
    <row r="485" ht="19.5" customHeight="1" x14ac:dyDescent="0.15"/>
    <row r="486" ht="19.5" customHeight="1" x14ac:dyDescent="0.15"/>
    <row r="487" ht="19.5" customHeight="1" x14ac:dyDescent="0.15"/>
    <row r="488" ht="19.5" customHeight="1" x14ac:dyDescent="0.15"/>
    <row r="489" ht="19.5" customHeight="1" x14ac:dyDescent="0.15"/>
    <row r="490" ht="19.5" customHeight="1" x14ac:dyDescent="0.15"/>
    <row r="491" ht="19.5" customHeight="1" x14ac:dyDescent="0.15"/>
    <row r="492" ht="19.5" customHeight="1" x14ac:dyDescent="0.15"/>
    <row r="493" ht="19.5" customHeight="1" x14ac:dyDescent="0.15"/>
    <row r="494" ht="19.5" customHeight="1" x14ac:dyDescent="0.15"/>
    <row r="495" ht="19.5" customHeight="1" x14ac:dyDescent="0.15"/>
    <row r="496" ht="19.5" customHeight="1" x14ac:dyDescent="0.15"/>
    <row r="497" ht="19.5" customHeight="1" x14ac:dyDescent="0.15"/>
    <row r="498" ht="19.5" customHeight="1" x14ac:dyDescent="0.15"/>
    <row r="499" ht="19.5" customHeight="1" x14ac:dyDescent="0.15"/>
    <row r="500" ht="19.5" customHeight="1" x14ac:dyDescent="0.15"/>
    <row r="501" ht="19.5" customHeight="1" x14ac:dyDescent="0.15"/>
    <row r="502" ht="19.5" customHeight="1" x14ac:dyDescent="0.15"/>
    <row r="503" ht="19.5" customHeight="1" x14ac:dyDescent="0.15"/>
    <row r="504" ht="19.5" customHeight="1" x14ac:dyDescent="0.15"/>
    <row r="505" ht="19.5" customHeight="1" x14ac:dyDescent="0.15"/>
    <row r="506" ht="19.5" customHeight="1" x14ac:dyDescent="0.15"/>
    <row r="507" ht="19.5" customHeight="1" x14ac:dyDescent="0.15"/>
    <row r="508" ht="19.5" customHeight="1" x14ac:dyDescent="0.15"/>
    <row r="509" ht="19.5" customHeight="1" x14ac:dyDescent="0.15"/>
    <row r="510" ht="19.5" customHeight="1" x14ac:dyDescent="0.15"/>
    <row r="511" ht="19.5" customHeight="1" x14ac:dyDescent="0.15"/>
    <row r="512" ht="19.5" customHeight="1" x14ac:dyDescent="0.15"/>
    <row r="513" ht="19.5" customHeight="1" x14ac:dyDescent="0.15"/>
    <row r="514" ht="19.5" customHeight="1" x14ac:dyDescent="0.15"/>
    <row r="515" ht="19.5" customHeight="1" x14ac:dyDescent="0.15"/>
    <row r="516" ht="19.5" customHeight="1" x14ac:dyDescent="0.15"/>
    <row r="517" ht="19.5" customHeight="1" x14ac:dyDescent="0.15"/>
    <row r="518" ht="19.5" customHeight="1" x14ac:dyDescent="0.15"/>
    <row r="519" ht="19.5" customHeight="1" x14ac:dyDescent="0.15"/>
    <row r="520" ht="19.5" customHeight="1" x14ac:dyDescent="0.15"/>
    <row r="521" ht="19.5" customHeight="1" x14ac:dyDescent="0.15"/>
    <row r="522" ht="19.5" customHeight="1" x14ac:dyDescent="0.15"/>
    <row r="523" ht="19.5" customHeight="1" x14ac:dyDescent="0.15"/>
    <row r="524" ht="19.5" customHeight="1" x14ac:dyDescent="0.15"/>
    <row r="525" ht="19.5" customHeight="1" x14ac:dyDescent="0.15"/>
    <row r="526" ht="19.5" customHeight="1" x14ac:dyDescent="0.15"/>
    <row r="527" ht="19.5" customHeight="1" x14ac:dyDescent="0.15"/>
    <row r="528" ht="19.5" customHeight="1" x14ac:dyDescent="0.15"/>
    <row r="529" ht="19.5" customHeight="1" x14ac:dyDescent="0.15"/>
    <row r="530" ht="19.5" customHeight="1" x14ac:dyDescent="0.15"/>
    <row r="531" ht="19.5" customHeight="1" x14ac:dyDescent="0.15"/>
    <row r="532" ht="19.5" customHeight="1" x14ac:dyDescent="0.15"/>
    <row r="533" ht="19.5" customHeight="1" x14ac:dyDescent="0.15"/>
    <row r="534" ht="19.5" customHeight="1" x14ac:dyDescent="0.15"/>
    <row r="535" ht="19.5" customHeight="1" x14ac:dyDescent="0.15"/>
    <row r="536" ht="19.5" customHeight="1" x14ac:dyDescent="0.15"/>
    <row r="537" ht="19.5" customHeight="1" x14ac:dyDescent="0.15"/>
    <row r="538" ht="19.5" customHeight="1" x14ac:dyDescent="0.15"/>
    <row r="539" ht="19.5" customHeight="1" x14ac:dyDescent="0.15"/>
    <row r="540" ht="19.5" customHeight="1" x14ac:dyDescent="0.15"/>
    <row r="541" ht="19.5" customHeight="1" x14ac:dyDescent="0.15"/>
    <row r="542" ht="19.5" customHeight="1" x14ac:dyDescent="0.15"/>
    <row r="543" ht="19.5" customHeight="1" x14ac:dyDescent="0.15"/>
    <row r="544" ht="19.5" customHeight="1" x14ac:dyDescent="0.15"/>
    <row r="545" ht="19.5" customHeight="1" x14ac:dyDescent="0.15"/>
  </sheetData>
  <sheetProtection sheet="1" objects="1" scenarios="1"/>
  <mergeCells count="1831">
    <mergeCell ref="H53:Q53"/>
    <mergeCell ref="R53:Y53"/>
    <mergeCell ref="Z53:AA54"/>
    <mergeCell ref="C32:H32"/>
    <mergeCell ref="V32:W32"/>
    <mergeCell ref="X32:Y32"/>
    <mergeCell ref="J32:M32"/>
    <mergeCell ref="J33:M33"/>
    <mergeCell ref="J34:M34"/>
    <mergeCell ref="J35:M35"/>
    <mergeCell ref="J36:M36"/>
    <mergeCell ref="J37:M37"/>
    <mergeCell ref="N31:Q31"/>
    <mergeCell ref="N32:Q32"/>
    <mergeCell ref="N33:Q33"/>
    <mergeCell ref="N34:Q34"/>
    <mergeCell ref="N35:Q35"/>
    <mergeCell ref="N36:Q36"/>
    <mergeCell ref="N37:Q37"/>
    <mergeCell ref="R31:U31"/>
    <mergeCell ref="R32:U32"/>
    <mergeCell ref="B48:AA48"/>
    <mergeCell ref="B49:AA49"/>
    <mergeCell ref="R33:U33"/>
    <mergeCell ref="R34:U34"/>
    <mergeCell ref="Z34:AA34"/>
    <mergeCell ref="B38:AA38"/>
    <mergeCell ref="Y367:AA367"/>
    <mergeCell ref="Y368:AA368"/>
    <mergeCell ref="Y369:AA369"/>
    <mergeCell ref="T7:Z7"/>
    <mergeCell ref="F169:X169"/>
    <mergeCell ref="B169:D169"/>
    <mergeCell ref="Y169:AA169"/>
    <mergeCell ref="R293:W293"/>
    <mergeCell ref="R294:W294"/>
    <mergeCell ref="R295:W295"/>
    <mergeCell ref="L198:Q198"/>
    <mergeCell ref="L199:Q199"/>
    <mergeCell ref="L200:Q200"/>
    <mergeCell ref="T199:AA200"/>
    <mergeCell ref="G331:J331"/>
    <mergeCell ref="K331:N331"/>
    <mergeCell ref="O331:R331"/>
    <mergeCell ref="S331:V331"/>
    <mergeCell ref="G332:J332"/>
    <mergeCell ref="G333:J333"/>
    <mergeCell ref="G334:J334"/>
    <mergeCell ref="G335:J335"/>
    <mergeCell ref="K332:N332"/>
    <mergeCell ref="K333:N333"/>
    <mergeCell ref="G338:J338"/>
    <mergeCell ref="K338:N338"/>
    <mergeCell ref="O338:R338"/>
    <mergeCell ref="S338:V338"/>
    <mergeCell ref="G339:J339"/>
    <mergeCell ref="G340:J340"/>
    <mergeCell ref="K339:N339"/>
    <mergeCell ref="K340:N340"/>
    <mergeCell ref="F363:H363"/>
    <mergeCell ref="I363:J363"/>
    <mergeCell ref="O363:P366"/>
    <mergeCell ref="Q363:R363"/>
    <mergeCell ref="W363:X366"/>
    <mergeCell ref="Y363:AA363"/>
    <mergeCell ref="F364:H364"/>
    <mergeCell ref="I364:J364"/>
    <mergeCell ref="Q364:R364"/>
    <mergeCell ref="Y364:AA365"/>
    <mergeCell ref="F365:H365"/>
    <mergeCell ref="I365:J365"/>
    <mergeCell ref="Q365:R365"/>
    <mergeCell ref="F366:H366"/>
    <mergeCell ref="I366:J366"/>
    <mergeCell ref="Q366:R366"/>
    <mergeCell ref="Y366:AA366"/>
    <mergeCell ref="U366:V366"/>
    <mergeCell ref="M363:N363"/>
    <mergeCell ref="M364:N364"/>
    <mergeCell ref="M365:N365"/>
    <mergeCell ref="M366:N366"/>
    <mergeCell ref="K363:L363"/>
    <mergeCell ref="K364:L365"/>
    <mergeCell ref="F359:H359"/>
    <mergeCell ref="I359:J359"/>
    <mergeCell ref="O359:P362"/>
    <mergeCell ref="Q359:R359"/>
    <mergeCell ref="W359:X362"/>
    <mergeCell ref="Y359:AA359"/>
    <mergeCell ref="F360:H360"/>
    <mergeCell ref="I360:J360"/>
    <mergeCell ref="Q360:R360"/>
    <mergeCell ref="Y360:AA361"/>
    <mergeCell ref="F361:H361"/>
    <mergeCell ref="I361:J361"/>
    <mergeCell ref="Q361:R361"/>
    <mergeCell ref="F362:H362"/>
    <mergeCell ref="I362:J362"/>
    <mergeCell ref="Q362:R362"/>
    <mergeCell ref="Y362:AA362"/>
    <mergeCell ref="M359:N359"/>
    <mergeCell ref="M360:N360"/>
    <mergeCell ref="M361:N361"/>
    <mergeCell ref="M362:N362"/>
    <mergeCell ref="K359:L359"/>
    <mergeCell ref="K360:L361"/>
    <mergeCell ref="F355:H355"/>
    <mergeCell ref="I355:J355"/>
    <mergeCell ref="O355:P358"/>
    <mergeCell ref="Q355:R355"/>
    <mergeCell ref="W355:X358"/>
    <mergeCell ref="Y355:AA355"/>
    <mergeCell ref="F356:H356"/>
    <mergeCell ref="I356:J356"/>
    <mergeCell ref="Q356:R356"/>
    <mergeCell ref="Y356:AA357"/>
    <mergeCell ref="F357:H357"/>
    <mergeCell ref="I357:J357"/>
    <mergeCell ref="Q357:R357"/>
    <mergeCell ref="F358:H358"/>
    <mergeCell ref="I358:J358"/>
    <mergeCell ref="Q358:R358"/>
    <mergeCell ref="Y358:AA358"/>
    <mergeCell ref="M355:N355"/>
    <mergeCell ref="M356:N356"/>
    <mergeCell ref="M357:N357"/>
    <mergeCell ref="M358:N358"/>
    <mergeCell ref="K355:L355"/>
    <mergeCell ref="K356:L357"/>
    <mergeCell ref="F349:H349"/>
    <mergeCell ref="I349:J349"/>
    <mergeCell ref="Q349:R349"/>
    <mergeCell ref="F350:H350"/>
    <mergeCell ref="I350:J350"/>
    <mergeCell ref="Q350:R350"/>
    <mergeCell ref="Y350:AA350"/>
    <mergeCell ref="F351:H351"/>
    <mergeCell ref="I351:J351"/>
    <mergeCell ref="O351:P354"/>
    <mergeCell ref="Q351:R351"/>
    <mergeCell ref="W351:X354"/>
    <mergeCell ref="Y351:AA351"/>
    <mergeCell ref="F352:H352"/>
    <mergeCell ref="I352:J352"/>
    <mergeCell ref="Q352:R352"/>
    <mergeCell ref="Y352:AA353"/>
    <mergeCell ref="F353:H353"/>
    <mergeCell ref="I353:J353"/>
    <mergeCell ref="Q353:R353"/>
    <mergeCell ref="F354:H354"/>
    <mergeCell ref="I354:J354"/>
    <mergeCell ref="Q354:R354"/>
    <mergeCell ref="Y354:AA354"/>
    <mergeCell ref="M349:N349"/>
    <mergeCell ref="M351:N351"/>
    <mergeCell ref="M352:N352"/>
    <mergeCell ref="M353:N353"/>
    <mergeCell ref="M354:N354"/>
    <mergeCell ref="K351:L351"/>
    <mergeCell ref="K352:L353"/>
    <mergeCell ref="S351:T351"/>
    <mergeCell ref="B2:AA2"/>
    <mergeCell ref="B40:F40"/>
    <mergeCell ref="G40:H40"/>
    <mergeCell ref="I40:M40"/>
    <mergeCell ref="N40:O40"/>
    <mergeCell ref="P40:T40"/>
    <mergeCell ref="C344:Z344"/>
    <mergeCell ref="B346:D346"/>
    <mergeCell ref="F346:H346"/>
    <mergeCell ref="I346:J346"/>
    <mergeCell ref="O346:P346"/>
    <mergeCell ref="Q346:R346"/>
    <mergeCell ref="W346:X346"/>
    <mergeCell ref="Y346:AA346"/>
    <mergeCell ref="K334:N334"/>
    <mergeCell ref="K335:N335"/>
    <mergeCell ref="O332:R332"/>
    <mergeCell ref="O333:R333"/>
    <mergeCell ref="O334:R334"/>
    <mergeCell ref="O335:R335"/>
    <mergeCell ref="S332:V332"/>
    <mergeCell ref="S333:V333"/>
    <mergeCell ref="S334:V334"/>
    <mergeCell ref="B24:F24"/>
    <mergeCell ref="O339:R339"/>
    <mergeCell ref="O340:R340"/>
    <mergeCell ref="S339:V339"/>
    <mergeCell ref="S340:V340"/>
    <mergeCell ref="W300:Y300"/>
    <mergeCell ref="W301:Y301"/>
    <mergeCell ref="W302:Y302"/>
    <mergeCell ref="L204:S204"/>
    <mergeCell ref="W24:AA24"/>
    <mergeCell ref="B27:F27"/>
    <mergeCell ref="B41:F41"/>
    <mergeCell ref="G41:H41"/>
    <mergeCell ref="I41:M41"/>
    <mergeCell ref="N41:O41"/>
    <mergeCell ref="P41:AA41"/>
    <mergeCell ref="B23:F23"/>
    <mergeCell ref="G23:Q23"/>
    <mergeCell ref="R23:T24"/>
    <mergeCell ref="U23:V23"/>
    <mergeCell ref="W23:AA23"/>
    <mergeCell ref="V31:W31"/>
    <mergeCell ref="X31:Y31"/>
    <mergeCell ref="Z31:AA31"/>
    <mergeCell ref="B30:H30"/>
    <mergeCell ref="B31:H31"/>
    <mergeCell ref="B25:F26"/>
    <mergeCell ref="I25:J25"/>
    <mergeCell ref="K25:K26"/>
    <mergeCell ref="L25:M26"/>
    <mergeCell ref="N25:Q25"/>
    <mergeCell ref="R25:AA25"/>
    <mergeCell ref="I26:J26"/>
    <mergeCell ref="N26:Q26"/>
    <mergeCell ref="R26:AA26"/>
    <mergeCell ref="B28:F28"/>
    <mergeCell ref="I28:M28"/>
    <mergeCell ref="I30:M30"/>
    <mergeCell ref="J31:M31"/>
    <mergeCell ref="B6:AA6"/>
    <mergeCell ref="B45:AA45"/>
    <mergeCell ref="B46:AA46"/>
    <mergeCell ref="B47:AA47"/>
    <mergeCell ref="Z36:AA36"/>
    <mergeCell ref="C37:H37"/>
    <mergeCell ref="V37:W37"/>
    <mergeCell ref="X37:Y37"/>
    <mergeCell ref="Z37:AA37"/>
    <mergeCell ref="C36:H36"/>
    <mergeCell ref="V36:W36"/>
    <mergeCell ref="X36:Y36"/>
    <mergeCell ref="B35:B37"/>
    <mergeCell ref="C35:H35"/>
    <mergeCell ref="I35:I37"/>
    <mergeCell ref="V35:W35"/>
    <mergeCell ref="X35:Y35"/>
    <mergeCell ref="Z35:AA35"/>
    <mergeCell ref="C34:H34"/>
    <mergeCell ref="V34:W34"/>
    <mergeCell ref="X34:Y34"/>
    <mergeCell ref="Z32:AA32"/>
    <mergeCell ref="C33:H33"/>
    <mergeCell ref="V33:W33"/>
    <mergeCell ref="X33:Y33"/>
    <mergeCell ref="Z33:AA33"/>
    <mergeCell ref="R35:U35"/>
    <mergeCell ref="R36:U36"/>
    <mergeCell ref="R37:U37"/>
    <mergeCell ref="B32:B34"/>
    <mergeCell ref="G24:Q24"/>
    <mergeCell ref="U24:V24"/>
    <mergeCell ref="V55:W55"/>
    <mergeCell ref="X55:Y57"/>
    <mergeCell ref="Z55:AA57"/>
    <mergeCell ref="F56:G56"/>
    <mergeCell ref="H56:I56"/>
    <mergeCell ref="J56:K56"/>
    <mergeCell ref="L56:M56"/>
    <mergeCell ref="R56:S56"/>
    <mergeCell ref="T56:U56"/>
    <mergeCell ref="V56:W56"/>
    <mergeCell ref="X54:Y54"/>
    <mergeCell ref="B55:D57"/>
    <mergeCell ref="F55:G55"/>
    <mergeCell ref="H55:I55"/>
    <mergeCell ref="J55:K55"/>
    <mergeCell ref="L55:M55"/>
    <mergeCell ref="N55:O57"/>
    <mergeCell ref="P55:Q57"/>
    <mergeCell ref="R55:S55"/>
    <mergeCell ref="T55:U55"/>
    <mergeCell ref="L54:M54"/>
    <mergeCell ref="N54:O54"/>
    <mergeCell ref="P54:Q54"/>
    <mergeCell ref="R54:S54"/>
    <mergeCell ref="T54:U54"/>
    <mergeCell ref="V54:W54"/>
    <mergeCell ref="B54:D54"/>
    <mergeCell ref="F54:G54"/>
    <mergeCell ref="H54:I54"/>
    <mergeCell ref="J54:K54"/>
    <mergeCell ref="V57:W57"/>
    <mergeCell ref="B58:D60"/>
    <mergeCell ref="F58:G58"/>
    <mergeCell ref="H58:I58"/>
    <mergeCell ref="J58:K58"/>
    <mergeCell ref="L58:M58"/>
    <mergeCell ref="N58:O60"/>
    <mergeCell ref="P58:Q60"/>
    <mergeCell ref="R58:S58"/>
    <mergeCell ref="T58:U58"/>
    <mergeCell ref="F57:G57"/>
    <mergeCell ref="H57:I57"/>
    <mergeCell ref="J57:K57"/>
    <mergeCell ref="L57:M57"/>
    <mergeCell ref="R57:S57"/>
    <mergeCell ref="T57:U57"/>
    <mergeCell ref="V60:W60"/>
    <mergeCell ref="F60:G60"/>
    <mergeCell ref="H60:I60"/>
    <mergeCell ref="J60:K60"/>
    <mergeCell ref="L60:M60"/>
    <mergeCell ref="R60:S60"/>
    <mergeCell ref="T60:U60"/>
    <mergeCell ref="V58:W58"/>
    <mergeCell ref="V63:W63"/>
    <mergeCell ref="X58:Y60"/>
    <mergeCell ref="Z58:AA60"/>
    <mergeCell ref="F59:G59"/>
    <mergeCell ref="H59:I59"/>
    <mergeCell ref="J59:K59"/>
    <mergeCell ref="L59:M59"/>
    <mergeCell ref="R59:S59"/>
    <mergeCell ref="T59:U59"/>
    <mergeCell ref="V59:W59"/>
    <mergeCell ref="F64:W64"/>
    <mergeCell ref="X64:AA64"/>
    <mergeCell ref="B66:AA66"/>
    <mergeCell ref="C67:AA67"/>
    <mergeCell ref="H68:K68"/>
    <mergeCell ref="L68:O68"/>
    <mergeCell ref="P68:Y68"/>
    <mergeCell ref="F63:G63"/>
    <mergeCell ref="H63:I63"/>
    <mergeCell ref="J63:K63"/>
    <mergeCell ref="L63:M63"/>
    <mergeCell ref="R63:S63"/>
    <mergeCell ref="T63:U63"/>
    <mergeCell ref="V61:W61"/>
    <mergeCell ref="X61:Y63"/>
    <mergeCell ref="Z61:AA63"/>
    <mergeCell ref="F62:G62"/>
    <mergeCell ref="H62:I62"/>
    <mergeCell ref="J62:K62"/>
    <mergeCell ref="L62:M62"/>
    <mergeCell ref="R62:S62"/>
    <mergeCell ref="T62:U62"/>
    <mergeCell ref="V62:W62"/>
    <mergeCell ref="B61:D63"/>
    <mergeCell ref="F61:G61"/>
    <mergeCell ref="H61:I61"/>
    <mergeCell ref="J61:K61"/>
    <mergeCell ref="L61:M61"/>
    <mergeCell ref="N61:O63"/>
    <mergeCell ref="P61:Q63"/>
    <mergeCell ref="R61:S61"/>
    <mergeCell ref="T61:U61"/>
    <mergeCell ref="T70:U70"/>
    <mergeCell ref="V70:W70"/>
    <mergeCell ref="X70:Y70"/>
    <mergeCell ref="F71:G71"/>
    <mergeCell ref="H71:I71"/>
    <mergeCell ref="J71:K71"/>
    <mergeCell ref="L71:M71"/>
    <mergeCell ref="N71:O71"/>
    <mergeCell ref="P71:S71"/>
    <mergeCell ref="T71:U71"/>
    <mergeCell ref="T69:U69"/>
    <mergeCell ref="V69:W69"/>
    <mergeCell ref="X69:Y69"/>
    <mergeCell ref="B70:D74"/>
    <mergeCell ref="F70:G70"/>
    <mergeCell ref="H70:I70"/>
    <mergeCell ref="J70:K70"/>
    <mergeCell ref="L70:M70"/>
    <mergeCell ref="N70:O70"/>
    <mergeCell ref="P70:S70"/>
    <mergeCell ref="B69:D69"/>
    <mergeCell ref="F69:G69"/>
    <mergeCell ref="H69:I69"/>
    <mergeCell ref="J69:K69"/>
    <mergeCell ref="L69:M69"/>
    <mergeCell ref="N69:O69"/>
    <mergeCell ref="F74:G74"/>
    <mergeCell ref="H74:I74"/>
    <mergeCell ref="J74:K74"/>
    <mergeCell ref="L74:M74"/>
    <mergeCell ref="N74:O74"/>
    <mergeCell ref="B75:D79"/>
    <mergeCell ref="F75:G75"/>
    <mergeCell ref="H75:I75"/>
    <mergeCell ref="J75:K75"/>
    <mergeCell ref="L75:M75"/>
    <mergeCell ref="X72:Y72"/>
    <mergeCell ref="F73:G73"/>
    <mergeCell ref="H73:I73"/>
    <mergeCell ref="J73:K73"/>
    <mergeCell ref="L73:M73"/>
    <mergeCell ref="N73:O73"/>
    <mergeCell ref="V71:W71"/>
    <mergeCell ref="X71:Y71"/>
    <mergeCell ref="F72:G72"/>
    <mergeCell ref="H72:I72"/>
    <mergeCell ref="J72:K72"/>
    <mergeCell ref="L72:M72"/>
    <mergeCell ref="N72:O72"/>
    <mergeCell ref="P72:S72"/>
    <mergeCell ref="T72:U72"/>
    <mergeCell ref="V72:W72"/>
    <mergeCell ref="P76:S76"/>
    <mergeCell ref="T76:U76"/>
    <mergeCell ref="V76:W76"/>
    <mergeCell ref="X76:Y76"/>
    <mergeCell ref="F77:G77"/>
    <mergeCell ref="H77:I77"/>
    <mergeCell ref="J77:K77"/>
    <mergeCell ref="L77:M77"/>
    <mergeCell ref="N77:O77"/>
    <mergeCell ref="P77:S77"/>
    <mergeCell ref="N75:O75"/>
    <mergeCell ref="P75:S75"/>
    <mergeCell ref="T75:U75"/>
    <mergeCell ref="V75:W75"/>
    <mergeCell ref="X75:Y75"/>
    <mergeCell ref="F76:G76"/>
    <mergeCell ref="H76:I76"/>
    <mergeCell ref="J76:K76"/>
    <mergeCell ref="L76:M76"/>
    <mergeCell ref="N76:O76"/>
    <mergeCell ref="F79:G79"/>
    <mergeCell ref="H79:I79"/>
    <mergeCell ref="J79:K79"/>
    <mergeCell ref="L79:M79"/>
    <mergeCell ref="N79:O79"/>
    <mergeCell ref="B80:D84"/>
    <mergeCell ref="F80:G80"/>
    <mergeCell ref="H80:I80"/>
    <mergeCell ref="J80:K80"/>
    <mergeCell ref="L80:M80"/>
    <mergeCell ref="T77:U77"/>
    <mergeCell ref="V77:W77"/>
    <mergeCell ref="X77:Y77"/>
    <mergeCell ref="F78:G78"/>
    <mergeCell ref="H78:I78"/>
    <mergeCell ref="J78:K78"/>
    <mergeCell ref="L78:M78"/>
    <mergeCell ref="N78:O78"/>
    <mergeCell ref="P81:S81"/>
    <mergeCell ref="T81:U81"/>
    <mergeCell ref="V81:W81"/>
    <mergeCell ref="X81:Y81"/>
    <mergeCell ref="F82:G82"/>
    <mergeCell ref="J82:K82"/>
    <mergeCell ref="L82:M82"/>
    <mergeCell ref="N82:O82"/>
    <mergeCell ref="P82:S82"/>
    <mergeCell ref="N80:O80"/>
    <mergeCell ref="P80:S80"/>
    <mergeCell ref="T80:U80"/>
    <mergeCell ref="V80:W80"/>
    <mergeCell ref="X80:Y80"/>
    <mergeCell ref="F81:G81"/>
    <mergeCell ref="H81:I81"/>
    <mergeCell ref="J81:K81"/>
    <mergeCell ref="L81:M81"/>
    <mergeCell ref="N81:O81"/>
    <mergeCell ref="F84:G84"/>
    <mergeCell ref="H84:I84"/>
    <mergeCell ref="J84:K84"/>
    <mergeCell ref="L84:M84"/>
    <mergeCell ref="N84:O84"/>
    <mergeCell ref="B90:D90"/>
    <mergeCell ref="F90:H90"/>
    <mergeCell ref="I90:K90"/>
    <mergeCell ref="L90:N90"/>
    <mergeCell ref="O90:Q90"/>
    <mergeCell ref="T82:U82"/>
    <mergeCell ref="V82:W82"/>
    <mergeCell ref="X82:Y82"/>
    <mergeCell ref="F83:G83"/>
    <mergeCell ref="H83:I83"/>
    <mergeCell ref="J83:K83"/>
    <mergeCell ref="L83:M83"/>
    <mergeCell ref="N83:O83"/>
    <mergeCell ref="Z91:AA92"/>
    <mergeCell ref="U92:Y92"/>
    <mergeCell ref="B95:D95"/>
    <mergeCell ref="F95:H95"/>
    <mergeCell ref="I95:K95"/>
    <mergeCell ref="L95:N95"/>
    <mergeCell ref="O95:Q95"/>
    <mergeCell ref="R95:T95"/>
    <mergeCell ref="R90:T90"/>
    <mergeCell ref="U90:Y90"/>
    <mergeCell ref="Z90:AA90"/>
    <mergeCell ref="B91:D92"/>
    <mergeCell ref="F91:H92"/>
    <mergeCell ref="I91:K92"/>
    <mergeCell ref="L91:N92"/>
    <mergeCell ref="O91:Q92"/>
    <mergeCell ref="R91:T92"/>
    <mergeCell ref="U91:Y91"/>
    <mergeCell ref="H82:I82"/>
    <mergeCell ref="U98:X98"/>
    <mergeCell ref="Y98:AA98"/>
    <mergeCell ref="B99:D99"/>
    <mergeCell ref="F99:H99"/>
    <mergeCell ref="I99:K99"/>
    <mergeCell ref="L99:N99"/>
    <mergeCell ref="O99:Q99"/>
    <mergeCell ref="R99:T99"/>
    <mergeCell ref="U99:X99"/>
    <mergeCell ref="Y99:AA99"/>
    <mergeCell ref="B98:D98"/>
    <mergeCell ref="F98:H98"/>
    <mergeCell ref="I98:K98"/>
    <mergeCell ref="L98:N98"/>
    <mergeCell ref="O98:Q98"/>
    <mergeCell ref="R98:T98"/>
    <mergeCell ref="U96:AA96"/>
    <mergeCell ref="B97:D97"/>
    <mergeCell ref="F97:H97"/>
    <mergeCell ref="I97:K97"/>
    <mergeCell ref="L97:N97"/>
    <mergeCell ref="O97:Q97"/>
    <mergeCell ref="R97:T97"/>
    <mergeCell ref="U97:X97"/>
    <mergeCell ref="Y97:AA97"/>
    <mergeCell ref="B96:D96"/>
    <mergeCell ref="F96:H96"/>
    <mergeCell ref="I96:K96"/>
    <mergeCell ref="L96:N96"/>
    <mergeCell ref="O96:Q96"/>
    <mergeCell ref="R96:T96"/>
    <mergeCell ref="U106:Y106"/>
    <mergeCell ref="B109:D109"/>
    <mergeCell ref="F109:H109"/>
    <mergeCell ref="I109:K109"/>
    <mergeCell ref="L109:N109"/>
    <mergeCell ref="O109:Q109"/>
    <mergeCell ref="R109:T109"/>
    <mergeCell ref="U104:Y104"/>
    <mergeCell ref="Z104:AA104"/>
    <mergeCell ref="B105:D106"/>
    <mergeCell ref="F105:H106"/>
    <mergeCell ref="I105:K106"/>
    <mergeCell ref="L105:N106"/>
    <mergeCell ref="O105:Q106"/>
    <mergeCell ref="R105:T106"/>
    <mergeCell ref="U105:Y105"/>
    <mergeCell ref="Z105:AA106"/>
    <mergeCell ref="B104:D104"/>
    <mergeCell ref="F104:H104"/>
    <mergeCell ref="I104:K104"/>
    <mergeCell ref="L104:N104"/>
    <mergeCell ref="O104:Q104"/>
    <mergeCell ref="R104:T104"/>
    <mergeCell ref="U110:AA110"/>
    <mergeCell ref="F111:H111"/>
    <mergeCell ref="I111:K111"/>
    <mergeCell ref="L111:N111"/>
    <mergeCell ref="O111:Q111"/>
    <mergeCell ref="R111:T111"/>
    <mergeCell ref="U111:X111"/>
    <mergeCell ref="Y111:AA111"/>
    <mergeCell ref="B110:D113"/>
    <mergeCell ref="F110:H110"/>
    <mergeCell ref="I110:K110"/>
    <mergeCell ref="L110:N110"/>
    <mergeCell ref="O110:Q110"/>
    <mergeCell ref="R110:T110"/>
    <mergeCell ref="F112:H112"/>
    <mergeCell ref="I112:K112"/>
    <mergeCell ref="L112:N112"/>
    <mergeCell ref="O112:Q112"/>
    <mergeCell ref="B125:D125"/>
    <mergeCell ref="F125:H125"/>
    <mergeCell ref="I125:L125"/>
    <mergeCell ref="M125:P125"/>
    <mergeCell ref="Q125:T125"/>
    <mergeCell ref="U125:X125"/>
    <mergeCell ref="B116:AA116"/>
    <mergeCell ref="B117:AA117"/>
    <mergeCell ref="B118:AA118"/>
    <mergeCell ref="B119:AA119"/>
    <mergeCell ref="B120:AA120"/>
    <mergeCell ref="C124:AA124"/>
    <mergeCell ref="R112:T112"/>
    <mergeCell ref="U112:X112"/>
    <mergeCell ref="Y112:AA112"/>
    <mergeCell ref="F113:H113"/>
    <mergeCell ref="I113:K113"/>
    <mergeCell ref="L113:N113"/>
    <mergeCell ref="O113:Q113"/>
    <mergeCell ref="R113:T113"/>
    <mergeCell ref="U113:X113"/>
    <mergeCell ref="Y113:AA113"/>
    <mergeCell ref="F129:T129"/>
    <mergeCell ref="U129:X129"/>
    <mergeCell ref="B133:D133"/>
    <mergeCell ref="F133:H133"/>
    <mergeCell ref="I133:L133"/>
    <mergeCell ref="M133:P133"/>
    <mergeCell ref="Q133:T133"/>
    <mergeCell ref="C132:AA132"/>
    <mergeCell ref="U127:X127"/>
    <mergeCell ref="F128:H128"/>
    <mergeCell ref="I128:L128"/>
    <mergeCell ref="M128:P128"/>
    <mergeCell ref="Q128:T128"/>
    <mergeCell ref="U128:X128"/>
    <mergeCell ref="B126:D128"/>
    <mergeCell ref="F126:H126"/>
    <mergeCell ref="I126:L126"/>
    <mergeCell ref="M126:P126"/>
    <mergeCell ref="Q126:T126"/>
    <mergeCell ref="U126:X126"/>
    <mergeCell ref="F127:H127"/>
    <mergeCell ref="I127:L127"/>
    <mergeCell ref="M127:P127"/>
    <mergeCell ref="Q127:T127"/>
    <mergeCell ref="W137:Y137"/>
    <mergeCell ref="Z137:AA137"/>
    <mergeCell ref="F138:H138"/>
    <mergeCell ref="I138:L138"/>
    <mergeCell ref="M138:P138"/>
    <mergeCell ref="Q138:T138"/>
    <mergeCell ref="U138:V138"/>
    <mergeCell ref="W138:Y138"/>
    <mergeCell ref="Z138:AA138"/>
    <mergeCell ref="I136:L136"/>
    <mergeCell ref="M136:P136"/>
    <mergeCell ref="Q136:T136"/>
    <mergeCell ref="U136:AA136"/>
    <mergeCell ref="B137:D139"/>
    <mergeCell ref="F137:H137"/>
    <mergeCell ref="I137:L137"/>
    <mergeCell ref="M137:P137"/>
    <mergeCell ref="Q137:T137"/>
    <mergeCell ref="U137:V137"/>
    <mergeCell ref="B134:D136"/>
    <mergeCell ref="F134:H134"/>
    <mergeCell ref="I134:L134"/>
    <mergeCell ref="M134:P134"/>
    <mergeCell ref="Q134:T134"/>
    <mergeCell ref="F135:H135"/>
    <mergeCell ref="I135:L135"/>
    <mergeCell ref="M135:P135"/>
    <mergeCell ref="Q135:T135"/>
    <mergeCell ref="F136:H136"/>
    <mergeCell ref="I141:L141"/>
    <mergeCell ref="M141:P141"/>
    <mergeCell ref="Q141:T141"/>
    <mergeCell ref="U141:V141"/>
    <mergeCell ref="W141:Y141"/>
    <mergeCell ref="Z141:AA141"/>
    <mergeCell ref="Z139:AA139"/>
    <mergeCell ref="B140:D142"/>
    <mergeCell ref="F140:H140"/>
    <mergeCell ref="I140:L140"/>
    <mergeCell ref="M140:P140"/>
    <mergeCell ref="Q140:T140"/>
    <mergeCell ref="U140:V140"/>
    <mergeCell ref="W140:Y140"/>
    <mergeCell ref="Z140:AA140"/>
    <mergeCell ref="F141:H141"/>
    <mergeCell ref="F139:H139"/>
    <mergeCell ref="I139:L139"/>
    <mergeCell ref="M139:P139"/>
    <mergeCell ref="Q139:T139"/>
    <mergeCell ref="U139:V139"/>
    <mergeCell ref="W139:Y139"/>
    <mergeCell ref="I144:L144"/>
    <mergeCell ref="M144:P144"/>
    <mergeCell ref="Q144:T144"/>
    <mergeCell ref="U144:V144"/>
    <mergeCell ref="W144:Y144"/>
    <mergeCell ref="Z144:AA144"/>
    <mergeCell ref="Z142:AA142"/>
    <mergeCell ref="B143:D145"/>
    <mergeCell ref="F143:H143"/>
    <mergeCell ref="I143:L143"/>
    <mergeCell ref="M143:P143"/>
    <mergeCell ref="Q143:T143"/>
    <mergeCell ref="U143:V143"/>
    <mergeCell ref="W143:Y143"/>
    <mergeCell ref="Z143:AA143"/>
    <mergeCell ref="F144:H144"/>
    <mergeCell ref="F142:H142"/>
    <mergeCell ref="I142:L142"/>
    <mergeCell ref="M142:P142"/>
    <mergeCell ref="Q142:T142"/>
    <mergeCell ref="U142:V142"/>
    <mergeCell ref="W142:Y142"/>
    <mergeCell ref="R152:T152"/>
    <mergeCell ref="U152:V152"/>
    <mergeCell ref="W152:Y152"/>
    <mergeCell ref="Z152:AA152"/>
    <mergeCell ref="B153:D156"/>
    <mergeCell ref="F153:H153"/>
    <mergeCell ref="I153:J153"/>
    <mergeCell ref="K153:M153"/>
    <mergeCell ref="N153:O156"/>
    <mergeCell ref="P153:Q153"/>
    <mergeCell ref="Z145:AA145"/>
    <mergeCell ref="C150:AA150"/>
    <mergeCell ref="I151:O151"/>
    <mergeCell ref="P151:V151"/>
    <mergeCell ref="B152:D152"/>
    <mergeCell ref="F152:H152"/>
    <mergeCell ref="I152:J152"/>
    <mergeCell ref="K152:M152"/>
    <mergeCell ref="N152:O152"/>
    <mergeCell ref="P152:Q152"/>
    <mergeCell ref="F145:H145"/>
    <mergeCell ref="I145:L145"/>
    <mergeCell ref="M145:P145"/>
    <mergeCell ref="Q145:T145"/>
    <mergeCell ref="U145:V145"/>
    <mergeCell ref="W145:Y145"/>
    <mergeCell ref="F155:H155"/>
    <mergeCell ref="I155:J155"/>
    <mergeCell ref="K155:M155"/>
    <mergeCell ref="P155:Q155"/>
    <mergeCell ref="R155:T155"/>
    <mergeCell ref="F156:H156"/>
    <mergeCell ref="I156:J156"/>
    <mergeCell ref="K156:M156"/>
    <mergeCell ref="P156:Q156"/>
    <mergeCell ref="R156:T156"/>
    <mergeCell ref="R153:T153"/>
    <mergeCell ref="U153:V156"/>
    <mergeCell ref="W153:Y153"/>
    <mergeCell ref="Z153:AA156"/>
    <mergeCell ref="F154:H154"/>
    <mergeCell ref="I154:J154"/>
    <mergeCell ref="K154:M154"/>
    <mergeCell ref="P154:Q154"/>
    <mergeCell ref="R154:T154"/>
    <mergeCell ref="W154:Y155"/>
    <mergeCell ref="Z157:AA160"/>
    <mergeCell ref="F158:H158"/>
    <mergeCell ref="I158:J158"/>
    <mergeCell ref="K158:M158"/>
    <mergeCell ref="P158:Q158"/>
    <mergeCell ref="R158:T158"/>
    <mergeCell ref="W158:Y159"/>
    <mergeCell ref="F159:H159"/>
    <mergeCell ref="I159:J159"/>
    <mergeCell ref="K159:M159"/>
    <mergeCell ref="W156:Y156"/>
    <mergeCell ref="B157:D160"/>
    <mergeCell ref="F157:H157"/>
    <mergeCell ref="I157:J157"/>
    <mergeCell ref="K157:M157"/>
    <mergeCell ref="N157:O160"/>
    <mergeCell ref="P157:Q157"/>
    <mergeCell ref="R157:T157"/>
    <mergeCell ref="U157:V160"/>
    <mergeCell ref="W157:Y157"/>
    <mergeCell ref="K163:M163"/>
    <mergeCell ref="W160:Y160"/>
    <mergeCell ref="B161:D164"/>
    <mergeCell ref="F161:H161"/>
    <mergeCell ref="I161:J161"/>
    <mergeCell ref="K161:M161"/>
    <mergeCell ref="N161:O164"/>
    <mergeCell ref="P161:Q161"/>
    <mergeCell ref="R161:T161"/>
    <mergeCell ref="U161:V164"/>
    <mergeCell ref="W161:Y161"/>
    <mergeCell ref="P159:Q159"/>
    <mergeCell ref="R159:T159"/>
    <mergeCell ref="F160:H160"/>
    <mergeCell ref="I160:J160"/>
    <mergeCell ref="K160:M160"/>
    <mergeCell ref="P160:Q160"/>
    <mergeCell ref="R160:T160"/>
    <mergeCell ref="F172:X172"/>
    <mergeCell ref="Y172:AA172"/>
    <mergeCell ref="F173:X173"/>
    <mergeCell ref="Y173:AA173"/>
    <mergeCell ref="F174:X174"/>
    <mergeCell ref="Y174:AA174"/>
    <mergeCell ref="W164:Y164"/>
    <mergeCell ref="F165:V165"/>
    <mergeCell ref="W165:AA165"/>
    <mergeCell ref="C168:AA168"/>
    <mergeCell ref="B170:D177"/>
    <mergeCell ref="F170:X170"/>
    <mergeCell ref="Y170:AA170"/>
    <mergeCell ref="F171:X171"/>
    <mergeCell ref="Y171:AA171"/>
    <mergeCell ref="P163:Q163"/>
    <mergeCell ref="R163:T163"/>
    <mergeCell ref="F164:H164"/>
    <mergeCell ref="I164:J164"/>
    <mergeCell ref="K164:M164"/>
    <mergeCell ref="P164:Q164"/>
    <mergeCell ref="R164:T164"/>
    <mergeCell ref="Z161:AA164"/>
    <mergeCell ref="F162:H162"/>
    <mergeCell ref="I162:J162"/>
    <mergeCell ref="K162:M162"/>
    <mergeCell ref="P162:Q162"/>
    <mergeCell ref="R162:T162"/>
    <mergeCell ref="W162:Y163"/>
    <mergeCell ref="F163:H163"/>
    <mergeCell ref="I163:J163"/>
    <mergeCell ref="Y182:AA182"/>
    <mergeCell ref="Y183:AA183"/>
    <mergeCell ref="Y184:AA184"/>
    <mergeCell ref="Y185:AA185"/>
    <mergeCell ref="B178:D185"/>
    <mergeCell ref="F178:X178"/>
    <mergeCell ref="Y178:AA178"/>
    <mergeCell ref="F179:X179"/>
    <mergeCell ref="Y179:AA179"/>
    <mergeCell ref="F180:X180"/>
    <mergeCell ref="Y180:AA180"/>
    <mergeCell ref="F181:X181"/>
    <mergeCell ref="Y181:AA181"/>
    <mergeCell ref="F182:X182"/>
    <mergeCell ref="Y175:AA175"/>
    <mergeCell ref="Y176:AA176"/>
    <mergeCell ref="Y177:AA177"/>
    <mergeCell ref="I175:X175"/>
    <mergeCell ref="I176:X176"/>
    <mergeCell ref="I177:X177"/>
    <mergeCell ref="F175:H177"/>
    <mergeCell ref="F183:H185"/>
    <mergeCell ref="I183:X183"/>
    <mergeCell ref="I184:X184"/>
    <mergeCell ref="I185:X185"/>
    <mergeCell ref="B203:F203"/>
    <mergeCell ref="G203:K203"/>
    <mergeCell ref="B204:F204"/>
    <mergeCell ref="G204:K204"/>
    <mergeCell ref="B198:F198"/>
    <mergeCell ref="G198:K198"/>
    <mergeCell ref="R198:S198"/>
    <mergeCell ref="B199:F200"/>
    <mergeCell ref="G199:K200"/>
    <mergeCell ref="R199:S200"/>
    <mergeCell ref="Y190:AA190"/>
    <mergeCell ref="Y191:AA191"/>
    <mergeCell ref="Y192:AA192"/>
    <mergeCell ref="Y193:AA193"/>
    <mergeCell ref="B186:D193"/>
    <mergeCell ref="F186:X186"/>
    <mergeCell ref="Y186:AA186"/>
    <mergeCell ref="F187:X187"/>
    <mergeCell ref="Y187:AA187"/>
    <mergeCell ref="F188:X188"/>
    <mergeCell ref="Y188:AA188"/>
    <mergeCell ref="F189:X189"/>
    <mergeCell ref="Y189:AA189"/>
    <mergeCell ref="F190:X190"/>
    <mergeCell ref="F191:H193"/>
    <mergeCell ref="I191:X191"/>
    <mergeCell ref="I192:X192"/>
    <mergeCell ref="I193:X193"/>
    <mergeCell ref="B212:AA212"/>
    <mergeCell ref="B213:AA213"/>
    <mergeCell ref="B214:AA214"/>
    <mergeCell ref="B218:D218"/>
    <mergeCell ref="F218:H218"/>
    <mergeCell ref="I218:K218"/>
    <mergeCell ref="L218:M218"/>
    <mergeCell ref="N218:O218"/>
    <mergeCell ref="P218:R218"/>
    <mergeCell ref="B207:F207"/>
    <mergeCell ref="G207:K207"/>
    <mergeCell ref="L207:O207"/>
    <mergeCell ref="B210:AA210"/>
    <mergeCell ref="B211:AA211"/>
    <mergeCell ref="B205:F205"/>
    <mergeCell ref="G205:K205"/>
    <mergeCell ref="L205:O205"/>
    <mergeCell ref="B206:F206"/>
    <mergeCell ref="G206:K206"/>
    <mergeCell ref="L206:O206"/>
    <mergeCell ref="P205:S205"/>
    <mergeCell ref="P206:S206"/>
    <mergeCell ref="P207:S207"/>
    <mergeCell ref="S219:U219"/>
    <mergeCell ref="V219:W219"/>
    <mergeCell ref="X219:Y219"/>
    <mergeCell ref="Z219:AA224"/>
    <mergeCell ref="F220:H220"/>
    <mergeCell ref="I220:K220"/>
    <mergeCell ref="L220:M220"/>
    <mergeCell ref="N220:O220"/>
    <mergeCell ref="P220:R220"/>
    <mergeCell ref="S220:U220"/>
    <mergeCell ref="S218:U218"/>
    <mergeCell ref="V218:W218"/>
    <mergeCell ref="X218:Y218"/>
    <mergeCell ref="Z218:AA218"/>
    <mergeCell ref="B219:D224"/>
    <mergeCell ref="F219:H219"/>
    <mergeCell ref="I219:K219"/>
    <mergeCell ref="L219:M219"/>
    <mergeCell ref="N219:O219"/>
    <mergeCell ref="P219:R219"/>
    <mergeCell ref="V222:W222"/>
    <mergeCell ref="X222:Y222"/>
    <mergeCell ref="F223:H223"/>
    <mergeCell ref="I223:K223"/>
    <mergeCell ref="L223:M223"/>
    <mergeCell ref="N223:O223"/>
    <mergeCell ref="P223:R223"/>
    <mergeCell ref="S223:U223"/>
    <mergeCell ref="V223:W223"/>
    <mergeCell ref="X223:Y223"/>
    <mergeCell ref="F222:H222"/>
    <mergeCell ref="I222:K222"/>
    <mergeCell ref="L222:M222"/>
    <mergeCell ref="N222:O222"/>
    <mergeCell ref="P222:R222"/>
    <mergeCell ref="S222:U222"/>
    <mergeCell ref="V220:W220"/>
    <mergeCell ref="X220:Y220"/>
    <mergeCell ref="F221:H221"/>
    <mergeCell ref="I221:K221"/>
    <mergeCell ref="L221:M221"/>
    <mergeCell ref="N221:O221"/>
    <mergeCell ref="P221:R221"/>
    <mergeCell ref="S221:U221"/>
    <mergeCell ref="V221:W221"/>
    <mergeCell ref="X221:Y221"/>
    <mergeCell ref="X225:Y225"/>
    <mergeCell ref="Z225:AA230"/>
    <mergeCell ref="F226:H226"/>
    <mergeCell ref="I226:K226"/>
    <mergeCell ref="L226:M226"/>
    <mergeCell ref="N226:O226"/>
    <mergeCell ref="P226:R226"/>
    <mergeCell ref="S226:U226"/>
    <mergeCell ref="V226:W226"/>
    <mergeCell ref="X226:Y226"/>
    <mergeCell ref="V224:W224"/>
    <mergeCell ref="X224:Y224"/>
    <mergeCell ref="F228:H228"/>
    <mergeCell ref="I228:K228"/>
    <mergeCell ref="L228:M228"/>
    <mergeCell ref="N228:O228"/>
    <mergeCell ref="P228:R228"/>
    <mergeCell ref="S228:U228"/>
    <mergeCell ref="B225:D230"/>
    <mergeCell ref="F225:H225"/>
    <mergeCell ref="I225:K225"/>
    <mergeCell ref="L225:M225"/>
    <mergeCell ref="N225:O225"/>
    <mergeCell ref="P225:R225"/>
    <mergeCell ref="S225:U225"/>
    <mergeCell ref="V225:W225"/>
    <mergeCell ref="F224:H224"/>
    <mergeCell ref="I224:K224"/>
    <mergeCell ref="L224:M224"/>
    <mergeCell ref="N224:O224"/>
    <mergeCell ref="P224:R224"/>
    <mergeCell ref="S224:U224"/>
    <mergeCell ref="V229:W229"/>
    <mergeCell ref="X229:Y229"/>
    <mergeCell ref="F230:H230"/>
    <mergeCell ref="I230:K230"/>
    <mergeCell ref="L230:M230"/>
    <mergeCell ref="N230:O230"/>
    <mergeCell ref="P230:R230"/>
    <mergeCell ref="S230:U230"/>
    <mergeCell ref="V230:W230"/>
    <mergeCell ref="X230:Y230"/>
    <mergeCell ref="F229:H229"/>
    <mergeCell ref="I229:K229"/>
    <mergeCell ref="L229:M229"/>
    <mergeCell ref="N229:O229"/>
    <mergeCell ref="P229:R229"/>
    <mergeCell ref="S229:U229"/>
    <mergeCell ref="V227:W227"/>
    <mergeCell ref="X227:Y227"/>
    <mergeCell ref="V228:W228"/>
    <mergeCell ref="X228:Y228"/>
    <mergeCell ref="F227:H227"/>
    <mergeCell ref="I227:K227"/>
    <mergeCell ref="L227:M227"/>
    <mergeCell ref="N227:O227"/>
    <mergeCell ref="P227:R227"/>
    <mergeCell ref="S227:U227"/>
    <mergeCell ref="S231:U231"/>
    <mergeCell ref="V231:W231"/>
    <mergeCell ref="X231:Y231"/>
    <mergeCell ref="Z231:AA236"/>
    <mergeCell ref="F232:H232"/>
    <mergeCell ref="I232:K232"/>
    <mergeCell ref="L232:M232"/>
    <mergeCell ref="N232:O232"/>
    <mergeCell ref="P232:R232"/>
    <mergeCell ref="S232:U232"/>
    <mergeCell ref="V234:W234"/>
    <mergeCell ref="X234:Y234"/>
    <mergeCell ref="F235:H235"/>
    <mergeCell ref="I235:K235"/>
    <mergeCell ref="L235:M235"/>
    <mergeCell ref="N235:O235"/>
    <mergeCell ref="P235:R235"/>
    <mergeCell ref="S235:U235"/>
    <mergeCell ref="V232:W232"/>
    <mergeCell ref="X232:Y232"/>
    <mergeCell ref="F233:H233"/>
    <mergeCell ref="I233:K233"/>
    <mergeCell ref="L233:M233"/>
    <mergeCell ref="N233:O233"/>
    <mergeCell ref="P233:R233"/>
    <mergeCell ref="S233:U233"/>
    <mergeCell ref="V233:W233"/>
    <mergeCell ref="X233:Y233"/>
    <mergeCell ref="F237:W237"/>
    <mergeCell ref="X237:AA237"/>
    <mergeCell ref="B239:AA239"/>
    <mergeCell ref="B245:D245"/>
    <mergeCell ref="F245:H245"/>
    <mergeCell ref="I245:K245"/>
    <mergeCell ref="L245:M245"/>
    <mergeCell ref="N245:O245"/>
    <mergeCell ref="P245:R245"/>
    <mergeCell ref="S245:U245"/>
    <mergeCell ref="V235:W235"/>
    <mergeCell ref="X235:Y235"/>
    <mergeCell ref="F236:H236"/>
    <mergeCell ref="I236:K236"/>
    <mergeCell ref="L236:M236"/>
    <mergeCell ref="N236:O236"/>
    <mergeCell ref="P236:R236"/>
    <mergeCell ref="S236:U236"/>
    <mergeCell ref="V236:W236"/>
    <mergeCell ref="X236:Y236"/>
    <mergeCell ref="B231:D236"/>
    <mergeCell ref="F231:H231"/>
    <mergeCell ref="I231:K231"/>
    <mergeCell ref="L231:M231"/>
    <mergeCell ref="N231:O231"/>
    <mergeCell ref="P231:R231"/>
    <mergeCell ref="F234:H234"/>
    <mergeCell ref="I234:K234"/>
    <mergeCell ref="L234:M234"/>
    <mergeCell ref="N234:O234"/>
    <mergeCell ref="P234:R234"/>
    <mergeCell ref="S234:U234"/>
    <mergeCell ref="V246:W246"/>
    <mergeCell ref="X246:Y246"/>
    <mergeCell ref="Z246:AA251"/>
    <mergeCell ref="F247:H247"/>
    <mergeCell ref="I247:K247"/>
    <mergeCell ref="L247:M247"/>
    <mergeCell ref="N247:O247"/>
    <mergeCell ref="P247:R247"/>
    <mergeCell ref="S247:U247"/>
    <mergeCell ref="V247:W247"/>
    <mergeCell ref="V245:W245"/>
    <mergeCell ref="X245:Y245"/>
    <mergeCell ref="Z245:AA245"/>
    <mergeCell ref="B246:D251"/>
    <mergeCell ref="F246:H246"/>
    <mergeCell ref="I246:K246"/>
    <mergeCell ref="L246:M246"/>
    <mergeCell ref="N246:O246"/>
    <mergeCell ref="P246:R246"/>
    <mergeCell ref="S246:U246"/>
    <mergeCell ref="V249:W249"/>
    <mergeCell ref="X249:Y249"/>
    <mergeCell ref="F250:H250"/>
    <mergeCell ref="I250:K250"/>
    <mergeCell ref="L250:M250"/>
    <mergeCell ref="N250:O250"/>
    <mergeCell ref="P250:R250"/>
    <mergeCell ref="S250:U250"/>
    <mergeCell ref="V250:W250"/>
    <mergeCell ref="X250:Y250"/>
    <mergeCell ref="F249:H249"/>
    <mergeCell ref="I249:K249"/>
    <mergeCell ref="X247:Y247"/>
    <mergeCell ref="F248:H248"/>
    <mergeCell ref="I248:K248"/>
    <mergeCell ref="L248:M248"/>
    <mergeCell ref="N248:O248"/>
    <mergeCell ref="P248:R248"/>
    <mergeCell ref="S248:U248"/>
    <mergeCell ref="V248:W248"/>
    <mergeCell ref="X248:Y248"/>
    <mergeCell ref="L249:M249"/>
    <mergeCell ref="N249:O249"/>
    <mergeCell ref="P249:R249"/>
    <mergeCell ref="S249:U249"/>
    <mergeCell ref="Z252:AA257"/>
    <mergeCell ref="F253:H253"/>
    <mergeCell ref="I253:K253"/>
    <mergeCell ref="L253:M253"/>
    <mergeCell ref="N253:O253"/>
    <mergeCell ref="P253:R253"/>
    <mergeCell ref="S253:U253"/>
    <mergeCell ref="V253:W253"/>
    <mergeCell ref="X253:Y253"/>
    <mergeCell ref="V251:W251"/>
    <mergeCell ref="X251:Y251"/>
    <mergeCell ref="X254:Y254"/>
    <mergeCell ref="F255:H255"/>
    <mergeCell ref="I255:K255"/>
    <mergeCell ref="L255:M255"/>
    <mergeCell ref="N255:O255"/>
    <mergeCell ref="P255:R255"/>
    <mergeCell ref="S255:U255"/>
    <mergeCell ref="V255:W255"/>
    <mergeCell ref="X255:Y255"/>
    <mergeCell ref="F254:H254"/>
    <mergeCell ref="I254:K254"/>
    <mergeCell ref="L254:M254"/>
    <mergeCell ref="N254:O254"/>
    <mergeCell ref="P254:R254"/>
    <mergeCell ref="S254:U254"/>
    <mergeCell ref="X252:Y252"/>
    <mergeCell ref="X256:Y256"/>
    <mergeCell ref="X257:Y257"/>
    <mergeCell ref="I260:K260"/>
    <mergeCell ref="L260:M260"/>
    <mergeCell ref="N260:O260"/>
    <mergeCell ref="B252:D257"/>
    <mergeCell ref="F252:H252"/>
    <mergeCell ref="I252:K252"/>
    <mergeCell ref="L252:M252"/>
    <mergeCell ref="N252:O252"/>
    <mergeCell ref="P252:R252"/>
    <mergeCell ref="S252:U252"/>
    <mergeCell ref="V252:W252"/>
    <mergeCell ref="F251:H251"/>
    <mergeCell ref="I251:K251"/>
    <mergeCell ref="L251:M251"/>
    <mergeCell ref="N251:O251"/>
    <mergeCell ref="P251:R251"/>
    <mergeCell ref="S251:U251"/>
    <mergeCell ref="V254:W254"/>
    <mergeCell ref="V256:W256"/>
    <mergeCell ref="F257:H257"/>
    <mergeCell ref="I257:K257"/>
    <mergeCell ref="L257:M257"/>
    <mergeCell ref="N257:O257"/>
    <mergeCell ref="P257:R257"/>
    <mergeCell ref="S257:U257"/>
    <mergeCell ref="V257:W257"/>
    <mergeCell ref="F256:H256"/>
    <mergeCell ref="I256:K256"/>
    <mergeCell ref="L256:M256"/>
    <mergeCell ref="N256:O256"/>
    <mergeCell ref="P256:R256"/>
    <mergeCell ref="S256:U256"/>
    <mergeCell ref="V259:W259"/>
    <mergeCell ref="X259:Y259"/>
    <mergeCell ref="P260:R260"/>
    <mergeCell ref="S260:U260"/>
    <mergeCell ref="V260:W260"/>
    <mergeCell ref="X260:Y260"/>
    <mergeCell ref="S258:U258"/>
    <mergeCell ref="V258:W258"/>
    <mergeCell ref="X258:Y258"/>
    <mergeCell ref="Z258:AA263"/>
    <mergeCell ref="F259:H259"/>
    <mergeCell ref="I259:K259"/>
    <mergeCell ref="L259:M259"/>
    <mergeCell ref="N259:O259"/>
    <mergeCell ref="P259:R259"/>
    <mergeCell ref="S259:U259"/>
    <mergeCell ref="V262:W262"/>
    <mergeCell ref="X262:Y262"/>
    <mergeCell ref="F263:H263"/>
    <mergeCell ref="I263:K263"/>
    <mergeCell ref="L263:M263"/>
    <mergeCell ref="N263:O263"/>
    <mergeCell ref="P263:R263"/>
    <mergeCell ref="S263:U263"/>
    <mergeCell ref="V263:W263"/>
    <mergeCell ref="X263:Y263"/>
    <mergeCell ref="P261:R261"/>
    <mergeCell ref="S261:U261"/>
    <mergeCell ref="V261:W261"/>
    <mergeCell ref="X261:Y261"/>
    <mergeCell ref="F262:H262"/>
    <mergeCell ref="I262:K262"/>
    <mergeCell ref="L262:M262"/>
    <mergeCell ref="N262:O262"/>
    <mergeCell ref="M275:P275"/>
    <mergeCell ref="Y278:AA278"/>
    <mergeCell ref="P262:R262"/>
    <mergeCell ref="S262:U262"/>
    <mergeCell ref="B270:D272"/>
    <mergeCell ref="F270:H270"/>
    <mergeCell ref="I270:L270"/>
    <mergeCell ref="M270:P270"/>
    <mergeCell ref="F271:H271"/>
    <mergeCell ref="I271:L271"/>
    <mergeCell ref="M271:P271"/>
    <mergeCell ref="F272:H272"/>
    <mergeCell ref="I272:L272"/>
    <mergeCell ref="M272:P272"/>
    <mergeCell ref="F264:W264"/>
    <mergeCell ref="X264:AA264"/>
    <mergeCell ref="B269:D269"/>
    <mergeCell ref="F269:H269"/>
    <mergeCell ref="I269:L269"/>
    <mergeCell ref="M269:P269"/>
    <mergeCell ref="C268:AA268"/>
    <mergeCell ref="B258:D263"/>
    <mergeCell ref="F258:H258"/>
    <mergeCell ref="I258:K258"/>
    <mergeCell ref="L258:M258"/>
    <mergeCell ref="N258:O258"/>
    <mergeCell ref="P258:R258"/>
    <mergeCell ref="F261:H261"/>
    <mergeCell ref="I261:K261"/>
    <mergeCell ref="L261:M261"/>
    <mergeCell ref="N261:O261"/>
    <mergeCell ref="F260:H260"/>
    <mergeCell ref="F278:H278"/>
    <mergeCell ref="I278:L278"/>
    <mergeCell ref="M278:P278"/>
    <mergeCell ref="Q278:R278"/>
    <mergeCell ref="S278:U278"/>
    <mergeCell ref="V278:X278"/>
    <mergeCell ref="I277:L277"/>
    <mergeCell ref="M277:P277"/>
    <mergeCell ref="Q277:R277"/>
    <mergeCell ref="S277:U277"/>
    <mergeCell ref="V277:X277"/>
    <mergeCell ref="Y277:AA277"/>
    <mergeCell ref="Y281:AA281"/>
    <mergeCell ref="Q275:AA275"/>
    <mergeCell ref="B276:D278"/>
    <mergeCell ref="F276:H276"/>
    <mergeCell ref="I276:L276"/>
    <mergeCell ref="M276:P276"/>
    <mergeCell ref="Q276:R276"/>
    <mergeCell ref="S276:U276"/>
    <mergeCell ref="V276:X276"/>
    <mergeCell ref="Y276:AA276"/>
    <mergeCell ref="F277:H277"/>
    <mergeCell ref="B273:D275"/>
    <mergeCell ref="F273:H273"/>
    <mergeCell ref="I273:L273"/>
    <mergeCell ref="M273:P273"/>
    <mergeCell ref="F274:H274"/>
    <mergeCell ref="I274:L274"/>
    <mergeCell ref="M274:P274"/>
    <mergeCell ref="F275:H275"/>
    <mergeCell ref="I275:L275"/>
    <mergeCell ref="F281:H281"/>
    <mergeCell ref="I281:L281"/>
    <mergeCell ref="M281:P281"/>
    <mergeCell ref="Q281:R281"/>
    <mergeCell ref="S281:U281"/>
    <mergeCell ref="V281:X281"/>
    <mergeCell ref="I280:L280"/>
    <mergeCell ref="M280:P280"/>
    <mergeCell ref="Q280:R280"/>
    <mergeCell ref="S280:U280"/>
    <mergeCell ref="V280:X280"/>
    <mergeCell ref="Y280:AA280"/>
    <mergeCell ref="Y284:AA284"/>
    <mergeCell ref="B279:D281"/>
    <mergeCell ref="F279:H279"/>
    <mergeCell ref="I279:L279"/>
    <mergeCell ref="M279:P279"/>
    <mergeCell ref="Q279:R279"/>
    <mergeCell ref="S279:U279"/>
    <mergeCell ref="V279:X279"/>
    <mergeCell ref="Y279:AA279"/>
    <mergeCell ref="F280:H280"/>
    <mergeCell ref="B287:AA287"/>
    <mergeCell ref="B288:AA288"/>
    <mergeCell ref="B289:AA289"/>
    <mergeCell ref="B290:AA290"/>
    <mergeCell ref="B293:D293"/>
    <mergeCell ref="F293:H293"/>
    <mergeCell ref="I293:K293"/>
    <mergeCell ref="L293:N293"/>
    <mergeCell ref="O293:Q293"/>
    <mergeCell ref="F284:H284"/>
    <mergeCell ref="I284:L284"/>
    <mergeCell ref="M284:P284"/>
    <mergeCell ref="Q284:R284"/>
    <mergeCell ref="S284:U284"/>
    <mergeCell ref="V284:X284"/>
    <mergeCell ref="I283:L283"/>
    <mergeCell ref="M283:P283"/>
    <mergeCell ref="Q283:R283"/>
    <mergeCell ref="S283:U283"/>
    <mergeCell ref="V283:X283"/>
    <mergeCell ref="Y283:AA283"/>
    <mergeCell ref="B282:D284"/>
    <mergeCell ref="F282:H282"/>
    <mergeCell ref="I282:L282"/>
    <mergeCell ref="M282:P282"/>
    <mergeCell ref="Q282:R282"/>
    <mergeCell ref="S282:U282"/>
    <mergeCell ref="V282:X282"/>
    <mergeCell ref="Y282:AA282"/>
    <mergeCell ref="F283:H283"/>
    <mergeCell ref="B299:D299"/>
    <mergeCell ref="F299:H299"/>
    <mergeCell ref="I299:K299"/>
    <mergeCell ref="L299:N299"/>
    <mergeCell ref="O299:Q299"/>
    <mergeCell ref="X294:Y295"/>
    <mergeCell ref="B298:D298"/>
    <mergeCell ref="F298:H298"/>
    <mergeCell ref="I298:K298"/>
    <mergeCell ref="L298:N298"/>
    <mergeCell ref="O298:Q298"/>
    <mergeCell ref="X293:Y293"/>
    <mergeCell ref="B294:D295"/>
    <mergeCell ref="F294:H295"/>
    <mergeCell ref="I294:K295"/>
    <mergeCell ref="L294:N295"/>
    <mergeCell ref="O294:Q295"/>
    <mergeCell ref="R299:Y299"/>
    <mergeCell ref="W308:Y310"/>
    <mergeCell ref="Z308:AA310"/>
    <mergeCell ref="B309:F309"/>
    <mergeCell ref="G309:H309"/>
    <mergeCell ref="I309:J309"/>
    <mergeCell ref="K309:L309"/>
    <mergeCell ref="O309:P309"/>
    <mergeCell ref="S307:T307"/>
    <mergeCell ref="U307:V307"/>
    <mergeCell ref="W307:Y307"/>
    <mergeCell ref="Z307:AA307"/>
    <mergeCell ref="B308:F308"/>
    <mergeCell ref="G308:H308"/>
    <mergeCell ref="I308:J308"/>
    <mergeCell ref="K308:L308"/>
    <mergeCell ref="M308:N310"/>
    <mergeCell ref="O308:P308"/>
    <mergeCell ref="B307:F307"/>
    <mergeCell ref="G307:H307"/>
    <mergeCell ref="I307:J307"/>
    <mergeCell ref="K307:L307"/>
    <mergeCell ref="M307:N307"/>
    <mergeCell ref="O307:P307"/>
    <mergeCell ref="Q307:R307"/>
    <mergeCell ref="Q309:R309"/>
    <mergeCell ref="S309:T309"/>
    <mergeCell ref="B310:F310"/>
    <mergeCell ref="G310:H310"/>
    <mergeCell ref="I310:J310"/>
    <mergeCell ref="K310:L310"/>
    <mergeCell ref="O310:P310"/>
    <mergeCell ref="Q310:R310"/>
    <mergeCell ref="S310:T310"/>
    <mergeCell ref="B300:D300"/>
    <mergeCell ref="F300:H300"/>
    <mergeCell ref="I300:K300"/>
    <mergeCell ref="L300:N300"/>
    <mergeCell ref="O300:Q300"/>
    <mergeCell ref="Q308:R308"/>
    <mergeCell ref="S308:T308"/>
    <mergeCell ref="U308:V310"/>
    <mergeCell ref="G306:N306"/>
    <mergeCell ref="O306:V306"/>
    <mergeCell ref="B302:D302"/>
    <mergeCell ref="F302:H302"/>
    <mergeCell ref="I302:K302"/>
    <mergeCell ref="L302:N302"/>
    <mergeCell ref="O302:Q302"/>
    <mergeCell ref="B301:D301"/>
    <mergeCell ref="F301:H301"/>
    <mergeCell ref="I301:K301"/>
    <mergeCell ref="L301:N301"/>
    <mergeCell ref="O301:Q301"/>
    <mergeCell ref="R300:V300"/>
    <mergeCell ref="R301:V301"/>
    <mergeCell ref="R302:V302"/>
    <mergeCell ref="U314:V314"/>
    <mergeCell ref="W314:Y314"/>
    <mergeCell ref="B315:C317"/>
    <mergeCell ref="D315:F315"/>
    <mergeCell ref="G315:H315"/>
    <mergeCell ref="I315:J315"/>
    <mergeCell ref="K315:L315"/>
    <mergeCell ref="M315:N317"/>
    <mergeCell ref="O315:P315"/>
    <mergeCell ref="Q315:R315"/>
    <mergeCell ref="S317:T317"/>
    <mergeCell ref="G313:N313"/>
    <mergeCell ref="O313:V313"/>
    <mergeCell ref="B314:F314"/>
    <mergeCell ref="G314:H314"/>
    <mergeCell ref="I314:J314"/>
    <mergeCell ref="K314:L314"/>
    <mergeCell ref="M314:N314"/>
    <mergeCell ref="O314:P314"/>
    <mergeCell ref="Q314:R314"/>
    <mergeCell ref="S314:T314"/>
    <mergeCell ref="D317:F317"/>
    <mergeCell ref="G317:H317"/>
    <mergeCell ref="I317:J317"/>
    <mergeCell ref="K317:L317"/>
    <mergeCell ref="O317:P317"/>
    <mergeCell ref="Q317:R317"/>
    <mergeCell ref="S315:T315"/>
    <mergeCell ref="U315:V317"/>
    <mergeCell ref="W315:Y317"/>
    <mergeCell ref="D316:F316"/>
    <mergeCell ref="G316:H316"/>
    <mergeCell ref="I316:J316"/>
    <mergeCell ref="K316:L316"/>
    <mergeCell ref="O316:P316"/>
    <mergeCell ref="Q316:R316"/>
    <mergeCell ref="S316:T316"/>
    <mergeCell ref="G320:H320"/>
    <mergeCell ref="I320:J320"/>
    <mergeCell ref="K320:L320"/>
    <mergeCell ref="O320:P320"/>
    <mergeCell ref="Q320:R320"/>
    <mergeCell ref="S320:T320"/>
    <mergeCell ref="U318:V320"/>
    <mergeCell ref="W318:Y320"/>
    <mergeCell ref="D319:F319"/>
    <mergeCell ref="G319:H319"/>
    <mergeCell ref="I319:J319"/>
    <mergeCell ref="K319:L319"/>
    <mergeCell ref="O319:P319"/>
    <mergeCell ref="Q319:R319"/>
    <mergeCell ref="S319:T319"/>
    <mergeCell ref="D320:F320"/>
    <mergeCell ref="D318:F318"/>
    <mergeCell ref="G318:H318"/>
    <mergeCell ref="I318:J318"/>
    <mergeCell ref="K318:L318"/>
    <mergeCell ref="M318:N320"/>
    <mergeCell ref="O318:P318"/>
    <mergeCell ref="Q318:R318"/>
    <mergeCell ref="S318:T318"/>
    <mergeCell ref="B323:AA323"/>
    <mergeCell ref="B318:C320"/>
    <mergeCell ref="G28:H28"/>
    <mergeCell ref="N28:O28"/>
    <mergeCell ref="P28:T28"/>
    <mergeCell ref="U28:V28"/>
    <mergeCell ref="W28:AA28"/>
    <mergeCell ref="U20:V21"/>
    <mergeCell ref="W20:AA21"/>
    <mergeCell ref="U40:V40"/>
    <mergeCell ref="W40:AA40"/>
    <mergeCell ref="I27:M27"/>
    <mergeCell ref="G27:H27"/>
    <mergeCell ref="N27:O27"/>
    <mergeCell ref="P27:T27"/>
    <mergeCell ref="M347:N347"/>
    <mergeCell ref="M348:N348"/>
    <mergeCell ref="B340:F340"/>
    <mergeCell ref="W340:Y340"/>
    <mergeCell ref="B339:F339"/>
    <mergeCell ref="W339:Y339"/>
    <mergeCell ref="B338:F338"/>
    <mergeCell ref="W338:Y338"/>
    <mergeCell ref="B335:F335"/>
    <mergeCell ref="W335:Y335"/>
    <mergeCell ref="W333:Y333"/>
    <mergeCell ref="B334:F334"/>
    <mergeCell ref="W334:Y334"/>
    <mergeCell ref="Z331:AA331"/>
    <mergeCell ref="B332:F332"/>
    <mergeCell ref="W332:Y332"/>
    <mergeCell ref="Z332:AA335"/>
    <mergeCell ref="U347:V347"/>
    <mergeCell ref="U348:V348"/>
    <mergeCell ref="U349:V349"/>
    <mergeCell ref="I345:P345"/>
    <mergeCell ref="Q345:X345"/>
    <mergeCell ref="K346:N346"/>
    <mergeCell ref="S346:V346"/>
    <mergeCell ref="K347:L347"/>
    <mergeCell ref="K348:L349"/>
    <mergeCell ref="S347:T347"/>
    <mergeCell ref="S348:T349"/>
    <mergeCell ref="B324:AA324"/>
    <mergeCell ref="B325:AA325"/>
    <mergeCell ref="B326:AA326"/>
    <mergeCell ref="B327:AA327"/>
    <mergeCell ref="B328:AA328"/>
    <mergeCell ref="B333:F333"/>
    <mergeCell ref="B331:F331"/>
    <mergeCell ref="W331:Y331"/>
    <mergeCell ref="S335:V335"/>
    <mergeCell ref="B347:D369"/>
    <mergeCell ref="F347:H347"/>
    <mergeCell ref="I347:J347"/>
    <mergeCell ref="O347:P350"/>
    <mergeCell ref="Q347:R347"/>
    <mergeCell ref="W347:X350"/>
    <mergeCell ref="Y347:AA347"/>
    <mergeCell ref="F348:H348"/>
    <mergeCell ref="I348:J348"/>
    <mergeCell ref="Q348:R348"/>
    <mergeCell ref="Y348:AA349"/>
    <mergeCell ref="M350:N350"/>
    <mergeCell ref="S352:T353"/>
    <mergeCell ref="S355:T355"/>
    <mergeCell ref="S356:T357"/>
    <mergeCell ref="S359:T359"/>
    <mergeCell ref="S360:T361"/>
    <mergeCell ref="S363:T363"/>
    <mergeCell ref="S364:T365"/>
    <mergeCell ref="U350:V350"/>
    <mergeCell ref="U351:V351"/>
    <mergeCell ref="U352:V352"/>
    <mergeCell ref="U353:V353"/>
    <mergeCell ref="U354:V354"/>
    <mergeCell ref="U355:V355"/>
    <mergeCell ref="U356:V356"/>
    <mergeCell ref="U357:V357"/>
    <mergeCell ref="U358:V358"/>
    <mergeCell ref="U359:V359"/>
    <mergeCell ref="U360:V360"/>
    <mergeCell ref="U361:V361"/>
    <mergeCell ref="U362:V362"/>
    <mergeCell ref="U363:V363"/>
    <mergeCell ref="U364:V364"/>
    <mergeCell ref="U365:V365"/>
    <mergeCell ref="B370:D392"/>
    <mergeCell ref="F370:H370"/>
    <mergeCell ref="I370:J370"/>
    <mergeCell ref="K370:L370"/>
    <mergeCell ref="M370:N370"/>
    <mergeCell ref="O370:P373"/>
    <mergeCell ref="Q370:R370"/>
    <mergeCell ref="S370:T370"/>
    <mergeCell ref="U370:V370"/>
    <mergeCell ref="W370:X373"/>
    <mergeCell ref="Y370:AA370"/>
    <mergeCell ref="F371:H371"/>
    <mergeCell ref="I371:J371"/>
    <mergeCell ref="K371:L372"/>
    <mergeCell ref="M371:N371"/>
    <mergeCell ref="Q371:R371"/>
    <mergeCell ref="S371:T372"/>
    <mergeCell ref="U371:V371"/>
    <mergeCell ref="Y371:AA372"/>
    <mergeCell ref="F372:H372"/>
    <mergeCell ref="I372:J372"/>
    <mergeCell ref="M372:N372"/>
    <mergeCell ref="Q372:R372"/>
    <mergeCell ref="U372:V372"/>
    <mergeCell ref="F373:H373"/>
    <mergeCell ref="I373:J373"/>
    <mergeCell ref="M373:N373"/>
    <mergeCell ref="Q373:R373"/>
    <mergeCell ref="U373:V373"/>
    <mergeCell ref="Y373:AA373"/>
    <mergeCell ref="F374:H374"/>
    <mergeCell ref="I374:J374"/>
    <mergeCell ref="K374:L374"/>
    <mergeCell ref="M374:N374"/>
    <mergeCell ref="O374:P377"/>
    <mergeCell ref="Q374:R374"/>
    <mergeCell ref="S374:T374"/>
    <mergeCell ref="U374:V374"/>
    <mergeCell ref="W374:X377"/>
    <mergeCell ref="Y374:AA374"/>
    <mergeCell ref="F375:H375"/>
    <mergeCell ref="I375:J375"/>
    <mergeCell ref="K375:L376"/>
    <mergeCell ref="M375:N375"/>
    <mergeCell ref="Q375:R375"/>
    <mergeCell ref="S375:T376"/>
    <mergeCell ref="U375:V375"/>
    <mergeCell ref="Y375:AA376"/>
    <mergeCell ref="F376:H376"/>
    <mergeCell ref="I376:J376"/>
    <mergeCell ref="M376:N376"/>
    <mergeCell ref="Q376:R376"/>
    <mergeCell ref="U376:V376"/>
    <mergeCell ref="F377:H377"/>
    <mergeCell ref="I377:J377"/>
    <mergeCell ref="M377:N377"/>
    <mergeCell ref="Q377:R377"/>
    <mergeCell ref="U377:V377"/>
    <mergeCell ref="Y377:AA377"/>
    <mergeCell ref="F378:H378"/>
    <mergeCell ref="I378:J378"/>
    <mergeCell ref="K378:L378"/>
    <mergeCell ref="M378:N378"/>
    <mergeCell ref="O378:P381"/>
    <mergeCell ref="Q378:R378"/>
    <mergeCell ref="S378:T378"/>
    <mergeCell ref="U378:V378"/>
    <mergeCell ref="W378:X381"/>
    <mergeCell ref="Y378:AA378"/>
    <mergeCell ref="F379:H379"/>
    <mergeCell ref="I379:J379"/>
    <mergeCell ref="K379:L380"/>
    <mergeCell ref="M379:N379"/>
    <mergeCell ref="Q379:R379"/>
    <mergeCell ref="S379:T380"/>
    <mergeCell ref="U379:V379"/>
    <mergeCell ref="Y379:AA380"/>
    <mergeCell ref="F380:H380"/>
    <mergeCell ref="I380:J380"/>
    <mergeCell ref="M380:N380"/>
    <mergeCell ref="Q380:R380"/>
    <mergeCell ref="U380:V380"/>
    <mergeCell ref="F381:H381"/>
    <mergeCell ref="I381:J381"/>
    <mergeCell ref="M381:N381"/>
    <mergeCell ref="Q381:R381"/>
    <mergeCell ref="U381:V381"/>
    <mergeCell ref="Y381:AA381"/>
    <mergeCell ref="Y389:AA389"/>
    <mergeCell ref="F382:H382"/>
    <mergeCell ref="I382:J382"/>
    <mergeCell ref="K382:L382"/>
    <mergeCell ref="M382:N382"/>
    <mergeCell ref="O382:P385"/>
    <mergeCell ref="Q382:R382"/>
    <mergeCell ref="S382:T382"/>
    <mergeCell ref="U382:V382"/>
    <mergeCell ref="W382:X385"/>
    <mergeCell ref="Y382:AA382"/>
    <mergeCell ref="F383:H383"/>
    <mergeCell ref="I383:J383"/>
    <mergeCell ref="K383:L384"/>
    <mergeCell ref="M383:N383"/>
    <mergeCell ref="Q383:R383"/>
    <mergeCell ref="S383:T384"/>
    <mergeCell ref="U383:V383"/>
    <mergeCell ref="Y383:AA384"/>
    <mergeCell ref="F384:H384"/>
    <mergeCell ref="I384:J384"/>
    <mergeCell ref="M384:N384"/>
    <mergeCell ref="Q384:R384"/>
    <mergeCell ref="U384:V384"/>
    <mergeCell ref="F385:H385"/>
    <mergeCell ref="I385:J385"/>
    <mergeCell ref="M385:N385"/>
    <mergeCell ref="Q385:R385"/>
    <mergeCell ref="U385:V385"/>
    <mergeCell ref="Y385:AA385"/>
    <mergeCell ref="M399:N399"/>
    <mergeCell ref="Q399:R399"/>
    <mergeCell ref="S399:T400"/>
    <mergeCell ref="U399:V399"/>
    <mergeCell ref="F386:H386"/>
    <mergeCell ref="I386:J386"/>
    <mergeCell ref="K386:L386"/>
    <mergeCell ref="M386:N386"/>
    <mergeCell ref="O386:P389"/>
    <mergeCell ref="Q386:R386"/>
    <mergeCell ref="S386:T386"/>
    <mergeCell ref="U386:V386"/>
    <mergeCell ref="W386:X389"/>
    <mergeCell ref="Y386:AA386"/>
    <mergeCell ref="F387:H387"/>
    <mergeCell ref="I387:J387"/>
    <mergeCell ref="K387:L388"/>
    <mergeCell ref="M387:N387"/>
    <mergeCell ref="Q387:R387"/>
    <mergeCell ref="S387:T388"/>
    <mergeCell ref="U387:V387"/>
    <mergeCell ref="Y387:AA388"/>
    <mergeCell ref="F388:H388"/>
    <mergeCell ref="I388:J388"/>
    <mergeCell ref="M388:N388"/>
    <mergeCell ref="Q388:R388"/>
    <mergeCell ref="U388:V388"/>
    <mergeCell ref="F389:H389"/>
    <mergeCell ref="I389:J389"/>
    <mergeCell ref="M389:N389"/>
    <mergeCell ref="Q389:R389"/>
    <mergeCell ref="U389:V389"/>
    <mergeCell ref="U403:V403"/>
    <mergeCell ref="Y403:AA404"/>
    <mergeCell ref="F404:H404"/>
    <mergeCell ref="I404:J404"/>
    <mergeCell ref="Y390:AA390"/>
    <mergeCell ref="Y391:AA391"/>
    <mergeCell ref="Y392:AA392"/>
    <mergeCell ref="I396:P396"/>
    <mergeCell ref="Q396:X396"/>
    <mergeCell ref="B397:D397"/>
    <mergeCell ref="F397:H397"/>
    <mergeCell ref="I397:J397"/>
    <mergeCell ref="K397:N397"/>
    <mergeCell ref="O397:P397"/>
    <mergeCell ref="Q397:R397"/>
    <mergeCell ref="S397:V397"/>
    <mergeCell ref="W397:X397"/>
    <mergeCell ref="Y397:AA397"/>
    <mergeCell ref="B398:D420"/>
    <mergeCell ref="F398:H398"/>
    <mergeCell ref="I398:J398"/>
    <mergeCell ref="K398:L398"/>
    <mergeCell ref="M398:N398"/>
    <mergeCell ref="O398:P401"/>
    <mergeCell ref="Q398:R398"/>
    <mergeCell ref="S398:T398"/>
    <mergeCell ref="U398:V398"/>
    <mergeCell ref="W398:X401"/>
    <mergeCell ref="Y398:AA398"/>
    <mergeCell ref="F399:H399"/>
    <mergeCell ref="I399:J399"/>
    <mergeCell ref="K399:L400"/>
    <mergeCell ref="I408:J408"/>
    <mergeCell ref="M408:N408"/>
    <mergeCell ref="Q408:R408"/>
    <mergeCell ref="U408:V408"/>
    <mergeCell ref="Y399:AA400"/>
    <mergeCell ref="F400:H400"/>
    <mergeCell ref="I400:J400"/>
    <mergeCell ref="M400:N400"/>
    <mergeCell ref="Q400:R400"/>
    <mergeCell ref="U400:V400"/>
    <mergeCell ref="F401:H401"/>
    <mergeCell ref="I401:J401"/>
    <mergeCell ref="M401:N401"/>
    <mergeCell ref="Q401:R401"/>
    <mergeCell ref="U401:V401"/>
    <mergeCell ref="Y401:AA401"/>
    <mergeCell ref="F402:H402"/>
    <mergeCell ref="I402:J402"/>
    <mergeCell ref="K402:L402"/>
    <mergeCell ref="M402:N402"/>
    <mergeCell ref="O402:P405"/>
    <mergeCell ref="Q402:R402"/>
    <mergeCell ref="S402:T402"/>
    <mergeCell ref="U402:V402"/>
    <mergeCell ref="W402:X405"/>
    <mergeCell ref="Y402:AA402"/>
    <mergeCell ref="F403:H403"/>
    <mergeCell ref="I403:J403"/>
    <mergeCell ref="K403:L404"/>
    <mergeCell ref="M403:N403"/>
    <mergeCell ref="Q403:R403"/>
    <mergeCell ref="S403:T404"/>
    <mergeCell ref="U412:V412"/>
    <mergeCell ref="F413:H413"/>
    <mergeCell ref="I413:J413"/>
    <mergeCell ref="M413:N413"/>
    <mergeCell ref="M404:N404"/>
    <mergeCell ref="Q404:R404"/>
    <mergeCell ref="U404:V404"/>
    <mergeCell ref="F405:H405"/>
    <mergeCell ref="I405:J405"/>
    <mergeCell ref="M405:N405"/>
    <mergeCell ref="Q405:R405"/>
    <mergeCell ref="U405:V405"/>
    <mergeCell ref="Y405:AA405"/>
    <mergeCell ref="F406:H406"/>
    <mergeCell ref="I406:J406"/>
    <mergeCell ref="K406:L406"/>
    <mergeCell ref="M406:N406"/>
    <mergeCell ref="O406:P409"/>
    <mergeCell ref="Q406:R406"/>
    <mergeCell ref="S406:T406"/>
    <mergeCell ref="U406:V406"/>
    <mergeCell ref="W406:X409"/>
    <mergeCell ref="Y406:AA406"/>
    <mergeCell ref="F407:H407"/>
    <mergeCell ref="I407:J407"/>
    <mergeCell ref="K407:L408"/>
    <mergeCell ref="M407:N407"/>
    <mergeCell ref="Q407:R407"/>
    <mergeCell ref="S407:T408"/>
    <mergeCell ref="U407:V407"/>
    <mergeCell ref="Y407:AA408"/>
    <mergeCell ref="F408:H408"/>
    <mergeCell ref="M417:N417"/>
    <mergeCell ref="Q417:R417"/>
    <mergeCell ref="U417:V417"/>
    <mergeCell ref="Y417:AA417"/>
    <mergeCell ref="F409:H409"/>
    <mergeCell ref="I409:J409"/>
    <mergeCell ref="M409:N409"/>
    <mergeCell ref="Q409:R409"/>
    <mergeCell ref="U409:V409"/>
    <mergeCell ref="Y409:AA409"/>
    <mergeCell ref="F410:H410"/>
    <mergeCell ref="I410:J410"/>
    <mergeCell ref="K410:L410"/>
    <mergeCell ref="M410:N410"/>
    <mergeCell ref="O410:P413"/>
    <mergeCell ref="Q410:R410"/>
    <mergeCell ref="S410:T410"/>
    <mergeCell ref="U410:V410"/>
    <mergeCell ref="W410:X413"/>
    <mergeCell ref="Y410:AA410"/>
    <mergeCell ref="F411:H411"/>
    <mergeCell ref="I411:J411"/>
    <mergeCell ref="K411:L412"/>
    <mergeCell ref="M411:N411"/>
    <mergeCell ref="Q411:R411"/>
    <mergeCell ref="S411:T412"/>
    <mergeCell ref="U411:V411"/>
    <mergeCell ref="Y411:AA412"/>
    <mergeCell ref="F412:H412"/>
    <mergeCell ref="I412:J412"/>
    <mergeCell ref="M412:N412"/>
    <mergeCell ref="Q412:R412"/>
    <mergeCell ref="B4:AA4"/>
    <mergeCell ref="Y418:AA418"/>
    <mergeCell ref="Y419:AA419"/>
    <mergeCell ref="Y420:AA420"/>
    <mergeCell ref="Q413:R413"/>
    <mergeCell ref="U413:V413"/>
    <mergeCell ref="Y413:AA413"/>
    <mergeCell ref="F414:H414"/>
    <mergeCell ref="I414:J414"/>
    <mergeCell ref="K414:L414"/>
    <mergeCell ref="M414:N414"/>
    <mergeCell ref="O414:P417"/>
    <mergeCell ref="Q414:R414"/>
    <mergeCell ref="S414:T414"/>
    <mergeCell ref="U414:V414"/>
    <mergeCell ref="W414:X417"/>
    <mergeCell ref="Y414:AA414"/>
    <mergeCell ref="F415:H415"/>
    <mergeCell ref="I415:J415"/>
    <mergeCell ref="K415:L416"/>
    <mergeCell ref="M415:N415"/>
    <mergeCell ref="Q415:R415"/>
    <mergeCell ref="S415:T416"/>
    <mergeCell ref="U415:V415"/>
    <mergeCell ref="Y415:AA416"/>
    <mergeCell ref="F416:H416"/>
    <mergeCell ref="I416:J416"/>
    <mergeCell ref="M416:N416"/>
    <mergeCell ref="Q416:R416"/>
    <mergeCell ref="U416:V416"/>
    <mergeCell ref="F417:H417"/>
    <mergeCell ref="I417:J417"/>
  </mergeCells>
  <phoneticPr fontId="2"/>
  <dataValidations disablePrompts="1" count="11">
    <dataValidation type="list" allowBlank="1" showInputMessage="1" showErrorMessage="1" sqref="R32:R37" xr:uid="{DB11AFB7-3EDF-478F-BD27-616BD92B84D4}">
      <formula1>"対象労働者,対象外労働者"</formula1>
    </dataValidation>
    <dataValidation type="list" allowBlank="1" showInputMessage="1" showErrorMessage="1" sqref="I32:I34" xr:uid="{889C0A90-F6B9-470E-9678-331C3F46CB98}">
      <formula1>"○"</formula1>
    </dataValidation>
    <dataValidation type="list" allowBlank="1" showInputMessage="1" showErrorMessage="1" sqref="I30" xr:uid="{D800C5FC-32AA-410E-A437-405A4D5744CB}">
      <formula1>"設定あり,設定なし"</formula1>
    </dataValidation>
    <dataValidation type="list" allowBlank="1" showInputMessage="1" showErrorMessage="1" sqref="Z308:AA310 Z332:AA335 Z91:AA92 Z105:AA106 X237 AA339:AA340 R199:S200 X64 X264 U129:X129 W165:AA165 X294:Y295" xr:uid="{B00D0368-4DD5-4A13-ACC4-A7574BC93D02}">
      <formula1>"該当,非該当"</formula1>
    </dataValidation>
    <dataValidation imeMode="halfAlpha" allowBlank="1" showInputMessage="1" showErrorMessage="1" prompt="半角数字で、ハイフンを入れて記載してください。" sqref="I41:M41" xr:uid="{D2A72E4D-F773-4B40-9585-4B62378883AC}"/>
    <dataValidation type="whole" operator="lessThanOrEqual" allowBlank="1" showInputMessage="1" showErrorMessage="1" error="応募者数以下の人数となります。" sqref="J55:K63 T55:U63 J70:K84 N70:O84" xr:uid="{695A9DBC-E687-44CE-AB6E-8C51BAB7DA96}">
      <formula1>H55</formula1>
    </dataValidation>
    <dataValidation type="whole" operator="lessThanOrEqual" allowBlank="1" showInputMessage="1" showErrorMessage="1" error="採用者数以下の人数となります。" sqref="K161:M163 R153:T155 R161:T163 R157:T159 K153:M155 K157:M159" xr:uid="{F702C82E-06A1-4018-9695-85D2263F4086}">
      <formula1>I153</formula1>
    </dataValidation>
    <dataValidation type="list" allowBlank="1" showInputMessage="1" showErrorMessage="1" sqref="J32:J37" xr:uid="{4AD8A900-EC10-4071-AB16-780315DA01A2}">
      <formula1>"定めなし(無期),定めあり(有期)"</formula1>
    </dataValidation>
    <dataValidation type="list" allowBlank="1" showInputMessage="1" showErrorMessage="1" sqref="N32:N37" xr:uid="{DA731467-363B-4E06-8675-7710F5BF3B67}">
      <formula1>"常勤ﾌﾙﾀｲﾑ,常勤短時間,非常勤,ﾊﾟｰﾄﾀｲﾑ,裁量労働制"</formula1>
    </dataValidation>
    <dataValidation type="whole" operator="lessThanOrEqual" allowBlank="1" showInputMessage="1" showErrorMessage="1" error="採用者数以下の人数となります。" sqref="M355:M357 M359:M361 M363:M365 M351:M353 U359:U361 U363:U365 U351:U353 U355:U357 M378:M380 M382:M384 M386:M388 M374:M376 U382:U384 U386:U388 U374:U376 U378:U380 M406:M408 M410:M412 M414:M416 M402:M404 U410:U412 U414:U416 U402:U404 U406:U408" xr:uid="{62DF0EEC-DE52-407C-9CB9-5F5ABDA10EA6}">
      <formula1>I351</formula1>
    </dataValidation>
    <dataValidation type="list" allowBlank="1" showInputMessage="1" showErrorMessage="1" sqref="R25:AA25" xr:uid="{C90240DB-AA25-4BBA-9FB3-8AC690CD3A75}">
      <formula1>$G$22:$W$22</formula1>
    </dataValidation>
  </dataValidations>
  <printOptions horizontalCentered="1"/>
  <pageMargins left="0.70866141732283472" right="0.70866141732283472" top="0.74803149606299213" bottom="0.35433070866141736" header="0.31496062992125984" footer="0.11811023622047245"/>
  <pageSetup paperSize="9" scale="92" fitToHeight="0" orientation="portrait" r:id="rId1"/>
  <headerFooter scaleWithDoc="0">
    <oddFooter>&amp;C&amp;P/&amp;N</oddFooter>
  </headerFooter>
  <rowBreaks count="11" manualBreakCount="11">
    <brk id="42" max="16383" man="1"/>
    <brk id="85" max="27" man="1"/>
    <brk id="114" max="27" man="1"/>
    <brk id="146" max="27" man="1"/>
    <brk id="194" max="27" man="1"/>
    <brk id="208" max="27" man="1"/>
    <brk id="240" max="27" man="1"/>
    <brk id="285" max="27" man="1"/>
    <brk id="321" max="27" man="1"/>
    <brk id="341" max="16383" man="1"/>
    <brk id="393" max="2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EFF73-3A6D-4FA6-B70A-C59C21E083BF}">
  <sheetPr>
    <tabColor rgb="FFFFFF00"/>
    <outlinePr summaryRight="0"/>
  </sheetPr>
  <dimension ref="A1:AD545"/>
  <sheetViews>
    <sheetView view="pageBreakPreview" zoomScale="110" zoomScaleNormal="110" zoomScaleSheetLayoutView="110" workbookViewId="0">
      <selection activeCell="AF12" sqref="AF12"/>
    </sheetView>
  </sheetViews>
  <sheetFormatPr defaultRowHeight="13.5" x14ac:dyDescent="0.15"/>
  <cols>
    <col min="1" max="1" width="1" style="1" customWidth="1"/>
    <col min="2" max="4" width="3.625" style="1" customWidth="1"/>
    <col min="5" max="5" width="3.625" style="20" hidden="1" customWidth="1"/>
    <col min="6" max="27" width="3.625" style="1" customWidth="1"/>
    <col min="28" max="28" width="1" style="1" customWidth="1"/>
    <col min="29" max="16384" width="9" style="1"/>
  </cols>
  <sheetData>
    <row r="1" spans="1:28" x14ac:dyDescent="0.15">
      <c r="B1" s="9" t="s">
        <v>73</v>
      </c>
    </row>
    <row r="2" spans="1:28" ht="30.75" customHeight="1" x14ac:dyDescent="0.15">
      <c r="B2" s="912" t="s">
        <v>152</v>
      </c>
      <c r="C2" s="912"/>
      <c r="D2" s="912"/>
      <c r="E2" s="912"/>
      <c r="F2" s="912"/>
      <c r="G2" s="912"/>
      <c r="H2" s="912"/>
      <c r="I2" s="912"/>
      <c r="J2" s="912"/>
      <c r="K2" s="912"/>
      <c r="L2" s="912"/>
      <c r="M2" s="912"/>
      <c r="N2" s="912"/>
      <c r="O2" s="912"/>
      <c r="P2" s="912"/>
      <c r="Q2" s="912"/>
      <c r="R2" s="912"/>
      <c r="S2" s="912"/>
      <c r="T2" s="912"/>
      <c r="U2" s="912"/>
      <c r="V2" s="912"/>
      <c r="W2" s="912"/>
      <c r="X2" s="912"/>
      <c r="Y2" s="912"/>
      <c r="Z2" s="912"/>
      <c r="AA2" s="912"/>
    </row>
    <row r="3" spans="1:28" s="15" customFormat="1" ht="17.25" customHeight="1" x14ac:dyDescent="0.15">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row>
    <row r="4" spans="1:28" s="36" customFormat="1" ht="30.75" customHeight="1" x14ac:dyDescent="0.15">
      <c r="A4" s="80"/>
      <c r="B4" s="278" t="s">
        <v>239</v>
      </c>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82"/>
    </row>
    <row r="5" spans="1:28" s="36" customFormat="1" ht="17.25" customHeight="1" x14ac:dyDescent="0.15">
      <c r="A5" s="114"/>
      <c r="B5" s="115"/>
      <c r="C5" s="116"/>
      <c r="D5" s="116"/>
      <c r="E5" s="116"/>
      <c r="F5" s="116"/>
      <c r="G5" s="116"/>
      <c r="H5" s="116"/>
      <c r="I5" s="116"/>
      <c r="J5" s="116"/>
      <c r="K5" s="116"/>
      <c r="L5" s="116"/>
      <c r="M5" s="116"/>
      <c r="N5" s="116"/>
      <c r="O5" s="117"/>
      <c r="P5" s="118" t="e">
        <f>TEXT(DATE(YEAR($X$27)-5,MONTH($X$27),DAY($X$27)),"yyyy年")</f>
        <v>#VALUE!</v>
      </c>
      <c r="Q5" s="119"/>
      <c r="R5" s="118" t="e">
        <f>TEXT(DATE(YEAR($X$27)-5,MONTH($X$27),DAY($X$27)),"yyyy")</f>
        <v>#VALUE!</v>
      </c>
      <c r="S5" s="119"/>
      <c r="T5" s="118"/>
      <c r="U5" s="118" t="e">
        <f>TEXT(DATE(YEAR($X$27)-15,MONTH($X$27),DAY($X$27)),"yyyy年")</f>
        <v>#VALUE!</v>
      </c>
      <c r="V5" s="119"/>
      <c r="W5" s="120" t="e">
        <f>TEXT(DATE(YEAR($X$27)-15,MONTH($X$27),DAY($X$27)),"yyyy")</f>
        <v>#VALUE!</v>
      </c>
      <c r="X5" s="121"/>
      <c r="Y5" s="122"/>
      <c r="AA5" s="116"/>
      <c r="AB5" s="123"/>
    </row>
    <row r="6" spans="1:28" s="36" customFormat="1" ht="27" customHeight="1" x14ac:dyDescent="0.15">
      <c r="A6" s="114"/>
      <c r="B6" s="868" t="s">
        <v>206</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123"/>
    </row>
    <row r="7" spans="1:28" s="36" customFormat="1" ht="27" customHeight="1" x14ac:dyDescent="0.15">
      <c r="A7" s="114"/>
      <c r="B7" s="124"/>
      <c r="C7" s="1507" t="str">
        <f>IF(G23="","右の日付、企業名等には、下の青色着色欄の入力内容が反映","")</f>
        <v>右の日付、企業名等には、下の青色着色欄の入力内容が反映</v>
      </c>
      <c r="D7" s="124"/>
      <c r="E7" s="124"/>
      <c r="F7" s="124"/>
      <c r="G7" s="124"/>
      <c r="H7" s="124"/>
      <c r="I7" s="124"/>
      <c r="J7" s="124"/>
      <c r="K7" s="124"/>
      <c r="L7" s="124"/>
      <c r="M7" s="124"/>
      <c r="N7" s="124"/>
      <c r="O7" s="124"/>
      <c r="P7" s="124"/>
      <c r="Q7" s="124"/>
      <c r="R7" s="124"/>
      <c r="S7" s="124"/>
      <c r="T7" s="1020" t="str">
        <f>IF(W20="","日付",W20)</f>
        <v>日付</v>
      </c>
      <c r="U7" s="1020"/>
      <c r="V7" s="1020"/>
      <c r="W7" s="1020"/>
      <c r="X7" s="1020"/>
      <c r="Y7" s="1020"/>
      <c r="Z7" s="1020"/>
      <c r="AA7" s="124"/>
      <c r="AB7" s="123"/>
    </row>
    <row r="8" spans="1:28" s="36" customFormat="1" ht="27" customHeight="1" x14ac:dyDescent="0.15">
      <c r="A8" s="114"/>
      <c r="B8" s="115"/>
      <c r="C8" s="1508" t="str">
        <f>IF(G23="","されますので、ここでの入力は不要です。","")</f>
        <v>されますので、ここでの入力は不要です。</v>
      </c>
      <c r="D8" s="116"/>
      <c r="E8" s="116"/>
      <c r="F8" s="116"/>
      <c r="G8" s="116"/>
      <c r="H8" s="116"/>
      <c r="I8" s="116"/>
      <c r="J8" s="116"/>
      <c r="K8" s="116"/>
      <c r="L8" s="116"/>
      <c r="M8" s="116"/>
      <c r="N8" s="116"/>
      <c r="O8" s="116"/>
      <c r="P8" s="116"/>
      <c r="Q8" s="116"/>
      <c r="S8" s="115" t="str">
        <f>IF(G23="","企業名",G23)</f>
        <v>企業名</v>
      </c>
      <c r="T8" s="167"/>
      <c r="U8" s="167"/>
      <c r="V8" s="167"/>
      <c r="W8" s="167"/>
      <c r="X8" s="167"/>
      <c r="Y8" s="167"/>
      <c r="Z8" s="167"/>
      <c r="AA8" s="167"/>
      <c r="AB8" s="123"/>
    </row>
    <row r="9" spans="1:28" s="36" customFormat="1" ht="22.5" customHeight="1" x14ac:dyDescent="0.15">
      <c r="A9" s="114"/>
      <c r="B9" s="115"/>
      <c r="C9" s="116"/>
      <c r="D9" s="116"/>
      <c r="E9" s="116"/>
      <c r="F9" s="116"/>
      <c r="G9" s="116"/>
      <c r="H9" s="116"/>
      <c r="I9" s="116"/>
      <c r="J9" s="116"/>
      <c r="K9" s="116"/>
      <c r="L9" s="116"/>
      <c r="M9" s="116"/>
      <c r="N9" s="116"/>
      <c r="O9" s="116"/>
      <c r="P9" s="116"/>
      <c r="Q9" s="116"/>
      <c r="S9" s="168" t="str">
        <f>IF(W23="","代表者職名",W23)</f>
        <v>代表者職名</v>
      </c>
      <c r="U9" s="168"/>
      <c r="V9" s="168"/>
      <c r="W9" s="168"/>
      <c r="X9" s="168" t="str">
        <f>IF(W24="","代表者氏名",W24)</f>
        <v>代表者氏名</v>
      </c>
      <c r="Y9" s="168"/>
      <c r="Z9" s="168"/>
      <c r="AA9" s="168"/>
      <c r="AB9" s="123"/>
    </row>
    <row r="10" spans="1:28" s="36" customFormat="1" ht="22.5" customHeight="1" x14ac:dyDescent="0.15">
      <c r="A10" s="114"/>
      <c r="B10" s="115" t="s">
        <v>81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23"/>
    </row>
    <row r="11" spans="1:28" s="36" customFormat="1" ht="22.5" customHeight="1" x14ac:dyDescent="0.15">
      <c r="A11" s="114"/>
      <c r="B11" s="115" t="s">
        <v>83</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23"/>
    </row>
    <row r="12" spans="1:28" s="36" customFormat="1" ht="22.5" customHeight="1" x14ac:dyDescent="0.15">
      <c r="A12" s="114"/>
      <c r="B12" s="115" t="s">
        <v>84</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23"/>
    </row>
    <row r="13" spans="1:28" s="36" customFormat="1" ht="22.5" customHeight="1" x14ac:dyDescent="0.15">
      <c r="A13" s="114"/>
      <c r="B13" s="115" t="s">
        <v>85</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23"/>
    </row>
    <row r="14" spans="1:28" s="36" customFormat="1" ht="22.5" customHeight="1" x14ac:dyDescent="0.15">
      <c r="A14" s="83"/>
      <c r="B14" s="125" t="s">
        <v>123</v>
      </c>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c r="AA14" s="133"/>
      <c r="AB14" s="85"/>
    </row>
    <row r="15" spans="1:28" s="36" customFormat="1" ht="17.25" customHeight="1" x14ac:dyDescent="0.15">
      <c r="C15" s="116"/>
      <c r="D15" s="116"/>
      <c r="L15" s="121"/>
      <c r="M15" s="121"/>
      <c r="N15" s="121"/>
      <c r="O15" s="127"/>
      <c r="P15" s="118"/>
      <c r="Q15" s="127"/>
      <c r="R15" s="118" t="str">
        <f>TEXT(DATE(YEAR($I$27)-9,MONTH($I$27),DAY($I$27)),"yyyy年")</f>
        <v>3790年</v>
      </c>
      <c r="S15" s="120" t="str">
        <f>TEXT(DATE(YEAR($I$27)-9,MONTH($I$27),DAY($I$27)),"yyyy")</f>
        <v>3790</v>
      </c>
      <c r="T15" s="128" t="str">
        <f>TEXT(DATE(YEAR($I$27)-9,MONTH($I$27),DAY($I$27)),"yyyy年")</f>
        <v>3790年</v>
      </c>
      <c r="U15" s="121"/>
      <c r="V15" s="146"/>
      <c r="W15" s="121"/>
      <c r="X15" s="148"/>
      <c r="Y15" s="121"/>
      <c r="Z15" s="121"/>
      <c r="AA15" s="147"/>
    </row>
    <row r="16" spans="1:28" s="36" customFormat="1" ht="17.25" customHeight="1" x14ac:dyDescent="0.15">
      <c r="C16" s="116"/>
      <c r="D16" s="116"/>
      <c r="G16" s="145"/>
      <c r="I16" s="121"/>
      <c r="L16" s="121"/>
      <c r="M16" s="121"/>
      <c r="N16" s="121"/>
      <c r="O16" s="118" t="str">
        <f>TEXT(I27,"yyyy年")</f>
        <v>1900年</v>
      </c>
      <c r="P16" s="118" t="str">
        <f>TEXT(I27,"yyyy")</f>
        <v>1900</v>
      </c>
      <c r="Q16" s="118" t="str">
        <f>TEXT(I27,"yyyy年")</f>
        <v>1900年</v>
      </c>
      <c r="R16" s="118" t="str">
        <f>TEXT(DATE(YEAR($I$27)-10,MONTH($I$27),DAY($I$27)),"yyyy年")</f>
        <v>3789年</v>
      </c>
      <c r="S16" s="120" t="str">
        <f>TEXT(DATE(YEAR($I$27)-10,MONTH($I$27),DAY($I$27)),"yyyy")</f>
        <v>3789</v>
      </c>
      <c r="T16" s="128" t="str">
        <f>TEXT(DATE(YEAR($I$27)-10,MONTH($I$27),DAY($I$27)),"yyyy年")</f>
        <v>3789年</v>
      </c>
      <c r="U16" s="121"/>
      <c r="V16" s="146"/>
      <c r="W16" s="121"/>
      <c r="X16" s="148"/>
      <c r="Y16" s="121"/>
      <c r="Z16" s="121"/>
      <c r="AA16" s="147"/>
    </row>
    <row r="17" spans="2:27" s="36" customFormat="1" ht="17.25" customHeight="1" x14ac:dyDescent="0.15">
      <c r="C17" s="116"/>
      <c r="D17" s="116"/>
      <c r="L17" s="121"/>
      <c r="M17" s="121"/>
      <c r="N17" s="121"/>
      <c r="O17" s="118" t="str">
        <f>TEXT(DATE(YEAR($I$27)-1,MONTH($I$27),DAY($I$27)),"yyyy年")</f>
        <v>3798年</v>
      </c>
      <c r="P17" s="118" t="str">
        <f>TEXT(DATE(YEAR($I$27)-1,MONTH($I$27),DAY($I$27)),"yyyy")</f>
        <v>3798</v>
      </c>
      <c r="Q17" s="118" t="str">
        <f>TEXT(DATE(YEAR($I$27)-1,MONTH($I$27),DAY($I$27)),"yyyy年")</f>
        <v>3798年</v>
      </c>
      <c r="R17" s="118" t="str">
        <f>TEXT(DATE(YEAR($I$27)-11,MONTH($I$27),DAY($I$27)),"yyyy年")</f>
        <v>3788年</v>
      </c>
      <c r="S17" s="120" t="str">
        <f>TEXT(DATE(YEAR($I$27)-11,MONTH($I$27),DAY($I$27)),"yyyy")</f>
        <v>3788</v>
      </c>
      <c r="T17" s="128" t="str">
        <f>TEXT(DATE(YEAR($I$27)-11,MONTH($I$27),DAY($I$27)),"yyyy年")</f>
        <v>3788年</v>
      </c>
      <c r="U17" s="121"/>
      <c r="V17" s="146"/>
      <c r="W17" s="121"/>
      <c r="X17" s="148"/>
      <c r="Y17" s="121"/>
      <c r="Z17" s="121"/>
      <c r="AA17" s="147"/>
    </row>
    <row r="18" spans="2:27" s="36" customFormat="1" ht="17.25" customHeight="1" x14ac:dyDescent="0.15">
      <c r="C18" s="116"/>
      <c r="D18" s="116"/>
      <c r="L18" s="121"/>
      <c r="M18" s="121"/>
      <c r="N18" s="121"/>
      <c r="O18" s="118" t="str">
        <f>TEXT(DATE(YEAR($I$27)-2,MONTH($I$27),DAY($I$27)),"yyyy年")</f>
        <v>3797年</v>
      </c>
      <c r="P18" s="118" t="str">
        <f>TEXT(DATE(YEAR($I$27)-2,MONTH($I$27),DAY($I$27)),"yyyy")</f>
        <v>3797</v>
      </c>
      <c r="Q18" s="118" t="str">
        <f>TEXT(DATE(YEAR($I$27)-2,MONTH($I$27),DAY($I$27)),"yyyy年")</f>
        <v>3797年</v>
      </c>
      <c r="R18" s="118" t="str">
        <f>TEXT(DATE(YEAR($I$27)-12,MONTH($I$27),DAY($I$27)),"yyyy年")</f>
        <v>3787年</v>
      </c>
      <c r="S18" s="120" t="str">
        <f>TEXT(DATE(YEAR($I$27)-12,MONTH($I$27),DAY($I$27)),"yyyy")</f>
        <v>3787</v>
      </c>
      <c r="T18" s="128" t="str">
        <f>TEXT(DATE(YEAR($I$27)-12,MONTH($I$27),DAY($I$27)),"yyyy年")</f>
        <v>3787年</v>
      </c>
      <c r="U18" s="121"/>
      <c r="V18" s="146"/>
      <c r="W18" s="121"/>
      <c r="X18" s="148"/>
      <c r="Y18" s="121"/>
      <c r="Z18" s="121"/>
      <c r="AA18" s="147"/>
    </row>
    <row r="19" spans="2:27" ht="17.25" customHeight="1" x14ac:dyDescent="0.15">
      <c r="B19" s="50"/>
      <c r="C19" s="162" t="s">
        <v>161</v>
      </c>
      <c r="L19" s="144"/>
      <c r="M19" s="144"/>
      <c r="N19" s="144"/>
      <c r="O19" s="118" t="str">
        <f>TEXT(DATE(YEAR($I$27)-3,MONTH($I$27),DAY($I$27)),"yyyy年")</f>
        <v>3796年</v>
      </c>
      <c r="P19" s="118" t="str">
        <f>TEXT(DATE(YEAR($I$27)-3,MONTH($I$27),DAY($I$27)),"yyyy")</f>
        <v>3796</v>
      </c>
      <c r="Q19" s="118" t="str">
        <f>TEXT(DATE(YEAR($I$27)-3,MONTH($I$27),DAY($I$27)),"yyyy年")</f>
        <v>3796年</v>
      </c>
      <c r="R19" s="118" t="str">
        <f>TEXT(DATE(YEAR($I$27)-13,MONTH($I$27),DAY($I$27)),"yyyy年")</f>
        <v>3786年</v>
      </c>
      <c r="S19" s="120" t="str">
        <f>TEXT(DATE(YEAR($I$27)-13,MONTH($I$27),DAY($I$27)),"yyyy")</f>
        <v>3786</v>
      </c>
      <c r="T19" s="128" t="str">
        <f>TEXT(DATE(YEAR($I$27)-13,MONTH($I$27),DAY($I$27)),"yyyy年")</f>
        <v>3786年</v>
      </c>
      <c r="U19" s="144"/>
      <c r="V19" s="142"/>
      <c r="W19" s="144"/>
      <c r="X19" s="142"/>
      <c r="Y19" s="144"/>
      <c r="Z19" s="144"/>
      <c r="AA19" s="144"/>
    </row>
    <row r="20" spans="2:27" ht="5.25" customHeight="1" x14ac:dyDescent="0.15">
      <c r="C20" s="163"/>
      <c r="M20" s="144"/>
      <c r="N20" s="144"/>
      <c r="O20" s="118" t="str">
        <f>TEXT(DATE(YEAR($I$27)-4,MONTH($I$27),DAY($I$27)),"yyyy年")</f>
        <v>3795年</v>
      </c>
      <c r="P20" s="118" t="str">
        <f>TEXT(DATE(YEAR($I$27)-4,MONTH($I$27),DAY($I$27)),"yyyy")</f>
        <v>3795</v>
      </c>
      <c r="Q20" s="118" t="str">
        <f>TEXT(DATE(YEAR($I$27)-4,MONTH($I$27),DAY($I$27)),"yyyy年")</f>
        <v>3795年</v>
      </c>
      <c r="R20" s="118" t="str">
        <f>TEXT(DATE(YEAR($I$27)-14,MONTH($I$27),DAY($I$27)),"yyyy年")</f>
        <v>3785年</v>
      </c>
      <c r="S20" s="120" t="str">
        <f>TEXT(DATE(YEAR($I$27)-14,MONTH($I$27),DAY($I$27)),"yyyy")</f>
        <v>3785</v>
      </c>
      <c r="T20" s="128" t="str">
        <f>TEXT(DATE(YEAR($I$27)-14,MONTH($I$27),DAY($I$27)),"yyyy年")</f>
        <v>3785年</v>
      </c>
      <c r="U20" s="386" t="s">
        <v>75</v>
      </c>
      <c r="V20" s="387"/>
      <c r="W20" s="962"/>
      <c r="X20" s="963"/>
      <c r="Y20" s="963"/>
      <c r="Z20" s="963"/>
      <c r="AA20" s="964"/>
    </row>
    <row r="21" spans="2:27" ht="17.25" customHeight="1" x14ac:dyDescent="0.15">
      <c r="B21" s="51"/>
      <c r="C21" s="164" t="s">
        <v>162</v>
      </c>
      <c r="D21" s="98"/>
      <c r="E21" s="98"/>
      <c r="F21" s="98"/>
      <c r="G21" s="98"/>
      <c r="H21" s="98"/>
      <c r="I21" s="98"/>
      <c r="J21" s="98"/>
      <c r="K21" s="98"/>
      <c r="L21" s="98"/>
      <c r="M21" s="156"/>
      <c r="N21" s="156"/>
      <c r="O21" s="153"/>
      <c r="P21" s="153"/>
      <c r="Q21" s="153"/>
      <c r="R21" s="118" t="str">
        <f>TEXT(DATE(YEAR($I$27)-15,MONTH($I$27),DAY($I$27)),"yyyy年")</f>
        <v>3784年</v>
      </c>
      <c r="S21" s="120" t="str">
        <f>TEXT(DATE(YEAR($I$27)-15,MONTH($I$27),DAY($I$27)),"yyyy")</f>
        <v>3784</v>
      </c>
      <c r="T21" s="128" t="str">
        <f>TEXT(DATE(YEAR($I$27)-15,MONTH($I$27),DAY($I$27)),"yyyy年")</f>
        <v>3784年</v>
      </c>
      <c r="U21" s="388"/>
      <c r="V21" s="389"/>
      <c r="W21" s="965"/>
      <c r="X21" s="966"/>
      <c r="Y21" s="966"/>
      <c r="Z21" s="966"/>
      <c r="AA21" s="967"/>
    </row>
    <row r="22" spans="2:27" s="153" customFormat="1" ht="5.25" customHeight="1" x14ac:dyDescent="0.15">
      <c r="B22" s="161"/>
      <c r="C22" s="160"/>
      <c r="D22" s="160"/>
      <c r="E22" s="160"/>
      <c r="F22" s="160"/>
      <c r="G22" s="92" t="s">
        <v>104</v>
      </c>
      <c r="H22" s="92" t="s">
        <v>105</v>
      </c>
      <c r="I22" s="92" t="s">
        <v>64</v>
      </c>
      <c r="J22" s="92" t="s">
        <v>106</v>
      </c>
      <c r="K22" s="92" t="s">
        <v>107</v>
      </c>
      <c r="L22" s="92" t="s">
        <v>108</v>
      </c>
      <c r="M22" s="92" t="s">
        <v>109</v>
      </c>
      <c r="N22" s="92" t="s">
        <v>110</v>
      </c>
      <c r="O22" s="92" t="s">
        <v>111</v>
      </c>
      <c r="P22" s="92" t="s">
        <v>112</v>
      </c>
      <c r="Q22" s="92" t="s">
        <v>113</v>
      </c>
      <c r="R22" s="92" t="s">
        <v>114</v>
      </c>
      <c r="S22" s="92" t="s">
        <v>115</v>
      </c>
      <c r="T22" s="92" t="s">
        <v>116</v>
      </c>
      <c r="U22" s="92" t="s">
        <v>117</v>
      </c>
      <c r="V22" s="92" t="s">
        <v>118</v>
      </c>
      <c r="W22" s="92" t="s">
        <v>119</v>
      </c>
      <c r="X22" s="92"/>
      <c r="Y22" s="92"/>
    </row>
    <row r="23" spans="2:27" ht="22.5" customHeight="1" x14ac:dyDescent="0.15">
      <c r="B23" s="396" t="s">
        <v>44</v>
      </c>
      <c r="C23" s="754"/>
      <c r="D23" s="754"/>
      <c r="E23" s="754"/>
      <c r="F23" s="397"/>
      <c r="G23" s="877"/>
      <c r="H23" s="878"/>
      <c r="I23" s="878"/>
      <c r="J23" s="878"/>
      <c r="K23" s="878"/>
      <c r="L23" s="878"/>
      <c r="M23" s="878"/>
      <c r="N23" s="878"/>
      <c r="O23" s="878"/>
      <c r="P23" s="878"/>
      <c r="Q23" s="878"/>
      <c r="R23" s="692" t="s">
        <v>79</v>
      </c>
      <c r="S23" s="693"/>
      <c r="T23" s="694"/>
      <c r="U23" s="718" t="s">
        <v>92</v>
      </c>
      <c r="V23" s="720"/>
      <c r="W23" s="877"/>
      <c r="X23" s="878"/>
      <c r="Y23" s="878"/>
      <c r="Z23" s="878"/>
      <c r="AA23" s="879"/>
    </row>
    <row r="24" spans="2:27" ht="22.5" customHeight="1" x14ac:dyDescent="0.15">
      <c r="B24" s="396" t="s">
        <v>74</v>
      </c>
      <c r="C24" s="754"/>
      <c r="D24" s="754"/>
      <c r="E24" s="754"/>
      <c r="F24" s="397"/>
      <c r="G24" s="877"/>
      <c r="H24" s="878"/>
      <c r="I24" s="878"/>
      <c r="J24" s="878"/>
      <c r="K24" s="878"/>
      <c r="L24" s="878"/>
      <c r="M24" s="878"/>
      <c r="N24" s="878"/>
      <c r="O24" s="878"/>
      <c r="P24" s="878"/>
      <c r="Q24" s="878"/>
      <c r="R24" s="886"/>
      <c r="S24" s="887"/>
      <c r="T24" s="888"/>
      <c r="U24" s="718" t="s">
        <v>80</v>
      </c>
      <c r="V24" s="720"/>
      <c r="W24" s="877"/>
      <c r="X24" s="878"/>
      <c r="Y24" s="878"/>
      <c r="Z24" s="878"/>
      <c r="AA24" s="879"/>
    </row>
    <row r="25" spans="2:27" s="3" customFormat="1" ht="22.5" customHeight="1" x14ac:dyDescent="0.15">
      <c r="B25" s="892" t="s">
        <v>82</v>
      </c>
      <c r="C25" s="893"/>
      <c r="D25" s="893"/>
      <c r="E25" s="893"/>
      <c r="F25" s="894"/>
      <c r="G25" s="31"/>
      <c r="H25" s="32" t="s">
        <v>38</v>
      </c>
      <c r="I25" s="611"/>
      <c r="J25" s="611"/>
      <c r="K25" s="762" t="s">
        <v>43</v>
      </c>
      <c r="L25" s="899" t="str">
        <f>IF(I25="","",I25+I26)</f>
        <v/>
      </c>
      <c r="M25" s="900"/>
      <c r="N25" s="718" t="s">
        <v>65</v>
      </c>
      <c r="O25" s="719"/>
      <c r="P25" s="719"/>
      <c r="Q25" s="719"/>
      <c r="R25" s="903"/>
      <c r="S25" s="904"/>
      <c r="T25" s="904"/>
      <c r="U25" s="904"/>
      <c r="V25" s="904"/>
      <c r="W25" s="904"/>
      <c r="X25" s="904"/>
      <c r="Y25" s="904"/>
      <c r="Z25" s="904"/>
      <c r="AA25" s="905"/>
    </row>
    <row r="26" spans="2:27" s="3" customFormat="1" ht="22.5" customHeight="1" x14ac:dyDescent="0.15">
      <c r="B26" s="895"/>
      <c r="C26" s="896"/>
      <c r="D26" s="896"/>
      <c r="E26" s="896"/>
      <c r="F26" s="897"/>
      <c r="G26" s="100"/>
      <c r="H26" s="33" t="s">
        <v>37</v>
      </c>
      <c r="I26" s="706"/>
      <c r="J26" s="706"/>
      <c r="K26" s="898"/>
      <c r="L26" s="901"/>
      <c r="M26" s="902"/>
      <c r="N26" s="718" t="s">
        <v>78</v>
      </c>
      <c r="O26" s="719"/>
      <c r="P26" s="719"/>
      <c r="Q26" s="719"/>
      <c r="R26" s="906"/>
      <c r="S26" s="907"/>
      <c r="T26" s="907"/>
      <c r="U26" s="907"/>
      <c r="V26" s="907"/>
      <c r="W26" s="907"/>
      <c r="X26" s="907"/>
      <c r="Y26" s="907"/>
      <c r="Z26" s="907"/>
      <c r="AA26" s="908"/>
    </row>
    <row r="27" spans="2:27" ht="22.5" customHeight="1" x14ac:dyDescent="0.15">
      <c r="B27" s="396" t="s">
        <v>76</v>
      </c>
      <c r="C27" s="754"/>
      <c r="D27" s="754"/>
      <c r="E27" s="754"/>
      <c r="F27" s="397"/>
      <c r="G27" s="396" t="s">
        <v>228</v>
      </c>
      <c r="H27" s="397"/>
      <c r="I27" s="968"/>
      <c r="J27" s="969"/>
      <c r="K27" s="969"/>
      <c r="L27" s="969"/>
      <c r="M27" s="970"/>
      <c r="N27" s="401" t="s">
        <v>229</v>
      </c>
      <c r="O27" s="402"/>
      <c r="P27" s="968"/>
      <c r="Q27" s="969"/>
      <c r="R27" s="969"/>
      <c r="S27" s="969"/>
      <c r="T27" s="970"/>
      <c r="U27" s="132"/>
      <c r="V27" s="132"/>
      <c r="W27" s="101"/>
      <c r="X27" s="959" t="str">
        <f>IF(H27="","",DATEVALUE(_xlfn.CONCAT(H27:N27)))</f>
        <v/>
      </c>
      <c r="Y27" s="959"/>
      <c r="Z27" s="960" t="str">
        <f>IF(X27="","",DATE(YEAR(X27)+1,MONTH(X27),DAY(X27)-1))</f>
        <v/>
      </c>
      <c r="AA27" s="961"/>
    </row>
    <row r="28" spans="2:27" s="3" customFormat="1" ht="22.5" customHeight="1" x14ac:dyDescent="0.15">
      <c r="B28" s="909" t="s">
        <v>223</v>
      </c>
      <c r="C28" s="910"/>
      <c r="D28" s="910"/>
      <c r="E28" s="910"/>
      <c r="F28" s="911"/>
      <c r="G28" s="381" t="s">
        <v>225</v>
      </c>
      <c r="H28" s="382"/>
      <c r="I28" s="968"/>
      <c r="J28" s="969"/>
      <c r="K28" s="969"/>
      <c r="L28" s="969"/>
      <c r="M28" s="970"/>
      <c r="N28" s="381" t="s">
        <v>226</v>
      </c>
      <c r="O28" s="382"/>
      <c r="P28" s="968"/>
      <c r="Q28" s="969"/>
      <c r="R28" s="969"/>
      <c r="S28" s="969"/>
      <c r="T28" s="970"/>
      <c r="U28" s="381" t="s">
        <v>224</v>
      </c>
      <c r="V28" s="382"/>
      <c r="W28" s="968"/>
      <c r="X28" s="969"/>
      <c r="Y28" s="969"/>
      <c r="Z28" s="969"/>
      <c r="AA28" s="970"/>
    </row>
    <row r="29" spans="2:27" s="3" customFormat="1" ht="22.5" customHeight="1" x14ac:dyDescent="0.15">
      <c r="C29" s="34"/>
      <c r="D29" s="34"/>
      <c r="E29" s="34"/>
      <c r="F29" s="34"/>
      <c r="G29" s="37"/>
      <c r="H29" s="37"/>
      <c r="I29" s="37"/>
      <c r="J29" s="37"/>
      <c r="K29" s="37"/>
      <c r="L29" s="37"/>
      <c r="M29" s="37"/>
      <c r="N29" s="37"/>
      <c r="P29" s="37"/>
      <c r="Q29" s="37"/>
      <c r="R29" s="165" t="str">
        <f>IF(G23="","",IF(R25="","上段の産業分類欄は、リストから選択↑ ",IF(AND(R25="製造業",R26=""),"製造業にあっては、中分類も記載↑","")))</f>
        <v/>
      </c>
      <c r="S29" s="37"/>
      <c r="T29" s="37"/>
      <c r="U29" s="37"/>
      <c r="X29" s="13"/>
      <c r="Y29" s="13"/>
      <c r="Z29" s="13"/>
    </row>
    <row r="30" spans="2:27" s="3" customFormat="1" ht="22.5" customHeight="1" x14ac:dyDescent="0.15">
      <c r="B30" s="890" t="s">
        <v>97</v>
      </c>
      <c r="C30" s="762"/>
      <c r="D30" s="762"/>
      <c r="E30" s="762"/>
      <c r="F30" s="762"/>
      <c r="G30" s="762"/>
      <c r="H30" s="891"/>
      <c r="I30" s="877" t="s">
        <v>238</v>
      </c>
      <c r="J30" s="878"/>
      <c r="K30" s="878"/>
      <c r="L30" s="878"/>
      <c r="M30" s="879"/>
      <c r="N30" s="166" t="str">
        <f>IF(G23="","",IF(I30=""," ←雇用管理区分の設定欄は、リストから選択",IF(AND(I30="設定あり",Z32="")," ↓名称を記載し、雇用期間～時間外労働欄はリストから選択",IF(AND(I30="設定なし",B55=""),"雇用管理区分の設定がない場合は、下欄の記載は不要です。",""))))</f>
        <v/>
      </c>
      <c r="AA30" s="4"/>
    </row>
    <row r="31" spans="2:27" s="3" customFormat="1" ht="22.5" customHeight="1" x14ac:dyDescent="0.15">
      <c r="B31" s="889" t="s">
        <v>120</v>
      </c>
      <c r="C31" s="889"/>
      <c r="D31" s="889"/>
      <c r="E31" s="889"/>
      <c r="F31" s="889"/>
      <c r="G31" s="889"/>
      <c r="H31" s="889"/>
      <c r="I31" s="129" t="s">
        <v>103</v>
      </c>
      <c r="J31" s="396" t="s">
        <v>98</v>
      </c>
      <c r="K31" s="754"/>
      <c r="L31" s="754"/>
      <c r="M31" s="397"/>
      <c r="N31" s="718" t="s">
        <v>100</v>
      </c>
      <c r="O31" s="719"/>
      <c r="P31" s="719"/>
      <c r="Q31" s="720"/>
      <c r="R31" s="396" t="s">
        <v>99</v>
      </c>
      <c r="S31" s="754"/>
      <c r="T31" s="754"/>
      <c r="U31" s="397"/>
      <c r="V31" s="867" t="s">
        <v>101</v>
      </c>
      <c r="W31" s="867"/>
      <c r="X31" s="867" t="s">
        <v>102</v>
      </c>
      <c r="Y31" s="867"/>
      <c r="Z31" s="889" t="s">
        <v>43</v>
      </c>
      <c r="AA31" s="889"/>
    </row>
    <row r="32" spans="2:27" s="3" customFormat="1" ht="22.5" customHeight="1" x14ac:dyDescent="0.15">
      <c r="B32" s="880" t="s">
        <v>121</v>
      </c>
      <c r="C32" s="877"/>
      <c r="D32" s="878"/>
      <c r="E32" s="878"/>
      <c r="F32" s="878"/>
      <c r="G32" s="878"/>
      <c r="H32" s="879"/>
      <c r="I32" s="38"/>
      <c r="J32" s="903"/>
      <c r="K32" s="904"/>
      <c r="L32" s="904"/>
      <c r="M32" s="905"/>
      <c r="N32" s="877"/>
      <c r="O32" s="878"/>
      <c r="P32" s="878"/>
      <c r="Q32" s="879"/>
      <c r="R32" s="877"/>
      <c r="S32" s="878"/>
      <c r="T32" s="878"/>
      <c r="U32" s="879"/>
      <c r="V32" s="463"/>
      <c r="W32" s="464"/>
      <c r="X32" s="463"/>
      <c r="Y32" s="464"/>
      <c r="Z32" s="875" t="str">
        <f>IF(V32+X32=0,"",V32+X32)</f>
        <v/>
      </c>
      <c r="AA32" s="876"/>
    </row>
    <row r="33" spans="2:27" s="3" customFormat="1" ht="22.5" customHeight="1" x14ac:dyDescent="0.15">
      <c r="B33" s="881"/>
      <c r="C33" s="877"/>
      <c r="D33" s="878"/>
      <c r="E33" s="878"/>
      <c r="F33" s="878"/>
      <c r="G33" s="878"/>
      <c r="H33" s="879"/>
      <c r="I33" s="38"/>
      <c r="J33" s="903"/>
      <c r="K33" s="904"/>
      <c r="L33" s="904"/>
      <c r="M33" s="905"/>
      <c r="N33" s="877"/>
      <c r="O33" s="878"/>
      <c r="P33" s="878"/>
      <c r="Q33" s="879"/>
      <c r="R33" s="945"/>
      <c r="S33" s="946"/>
      <c r="T33" s="946"/>
      <c r="U33" s="947"/>
      <c r="V33" s="463"/>
      <c r="W33" s="464"/>
      <c r="X33" s="463"/>
      <c r="Y33" s="464"/>
      <c r="Z33" s="875" t="str">
        <f t="shared" ref="Z33:Z37" si="0">IF(V33+X33=0,"",V33+X33)</f>
        <v/>
      </c>
      <c r="AA33" s="876"/>
    </row>
    <row r="34" spans="2:27" s="3" customFormat="1" ht="22.5" customHeight="1" x14ac:dyDescent="0.15">
      <c r="B34" s="882"/>
      <c r="C34" s="877"/>
      <c r="D34" s="878"/>
      <c r="E34" s="878"/>
      <c r="F34" s="878"/>
      <c r="G34" s="878"/>
      <c r="H34" s="879"/>
      <c r="I34" s="38"/>
      <c r="J34" s="903"/>
      <c r="K34" s="904"/>
      <c r="L34" s="904"/>
      <c r="M34" s="905"/>
      <c r="N34" s="877"/>
      <c r="O34" s="878"/>
      <c r="P34" s="878"/>
      <c r="Q34" s="879"/>
      <c r="R34" s="877"/>
      <c r="S34" s="878"/>
      <c r="T34" s="878"/>
      <c r="U34" s="879"/>
      <c r="V34" s="463"/>
      <c r="W34" s="464"/>
      <c r="X34" s="463"/>
      <c r="Y34" s="464"/>
      <c r="Z34" s="875" t="str">
        <f t="shared" si="0"/>
        <v/>
      </c>
      <c r="AA34" s="876"/>
    </row>
    <row r="35" spans="2:27" s="3" customFormat="1" ht="22.5" customHeight="1" x14ac:dyDescent="0.15">
      <c r="B35" s="880" t="s">
        <v>122</v>
      </c>
      <c r="C35" s="877"/>
      <c r="D35" s="878"/>
      <c r="E35" s="878"/>
      <c r="F35" s="878"/>
      <c r="G35" s="878"/>
      <c r="H35" s="879"/>
      <c r="I35" s="883"/>
      <c r="J35" s="903"/>
      <c r="K35" s="904"/>
      <c r="L35" s="904"/>
      <c r="M35" s="905"/>
      <c r="N35" s="877"/>
      <c r="O35" s="878"/>
      <c r="P35" s="878"/>
      <c r="Q35" s="879"/>
      <c r="R35" s="877"/>
      <c r="S35" s="878"/>
      <c r="T35" s="878"/>
      <c r="U35" s="879"/>
      <c r="V35" s="463"/>
      <c r="W35" s="464"/>
      <c r="X35" s="463"/>
      <c r="Y35" s="464"/>
      <c r="Z35" s="875" t="str">
        <f t="shared" si="0"/>
        <v/>
      </c>
      <c r="AA35" s="876"/>
    </row>
    <row r="36" spans="2:27" s="3" customFormat="1" ht="22.5" customHeight="1" x14ac:dyDescent="0.15">
      <c r="B36" s="881"/>
      <c r="C36" s="877"/>
      <c r="D36" s="878"/>
      <c r="E36" s="878"/>
      <c r="F36" s="878"/>
      <c r="G36" s="878"/>
      <c r="H36" s="879"/>
      <c r="I36" s="884"/>
      <c r="J36" s="903"/>
      <c r="K36" s="904"/>
      <c r="L36" s="904"/>
      <c r="M36" s="905"/>
      <c r="N36" s="877"/>
      <c r="O36" s="878"/>
      <c r="P36" s="878"/>
      <c r="Q36" s="879"/>
      <c r="R36" s="877"/>
      <c r="S36" s="878"/>
      <c r="T36" s="878"/>
      <c r="U36" s="879"/>
      <c r="V36" s="463"/>
      <c r="W36" s="464"/>
      <c r="X36" s="463"/>
      <c r="Y36" s="464"/>
      <c r="Z36" s="875" t="str">
        <f t="shared" si="0"/>
        <v/>
      </c>
      <c r="AA36" s="876"/>
    </row>
    <row r="37" spans="2:27" s="3" customFormat="1" ht="22.5" customHeight="1" x14ac:dyDescent="0.15">
      <c r="B37" s="882"/>
      <c r="C37" s="877"/>
      <c r="D37" s="878"/>
      <c r="E37" s="878"/>
      <c r="F37" s="878"/>
      <c r="G37" s="878"/>
      <c r="H37" s="879"/>
      <c r="I37" s="885"/>
      <c r="J37" s="903"/>
      <c r="K37" s="904"/>
      <c r="L37" s="904"/>
      <c r="M37" s="905"/>
      <c r="N37" s="877"/>
      <c r="O37" s="878"/>
      <c r="P37" s="878"/>
      <c r="Q37" s="879"/>
      <c r="R37" s="877"/>
      <c r="S37" s="878"/>
      <c r="T37" s="878"/>
      <c r="U37" s="879"/>
      <c r="V37" s="463"/>
      <c r="W37" s="464"/>
      <c r="X37" s="463"/>
      <c r="Y37" s="464"/>
      <c r="Z37" s="875" t="str">
        <f t="shared" si="0"/>
        <v/>
      </c>
      <c r="AA37" s="876"/>
    </row>
    <row r="38" spans="2:27" s="112" customFormat="1" ht="27.75" customHeight="1" x14ac:dyDescent="0.15">
      <c r="B38" s="948" t="s">
        <v>233</v>
      </c>
      <c r="C38" s="949"/>
      <c r="D38" s="949"/>
      <c r="E38" s="949"/>
      <c r="F38" s="949"/>
      <c r="G38" s="949"/>
      <c r="H38" s="949"/>
      <c r="I38" s="949"/>
      <c r="J38" s="949"/>
      <c r="K38" s="949"/>
      <c r="L38" s="949"/>
      <c r="M38" s="949"/>
      <c r="N38" s="949"/>
      <c r="O38" s="949"/>
      <c r="P38" s="949"/>
      <c r="Q38" s="949"/>
      <c r="R38" s="949"/>
      <c r="S38" s="949"/>
      <c r="T38" s="949"/>
      <c r="U38" s="949"/>
      <c r="V38" s="949"/>
      <c r="W38" s="949"/>
      <c r="X38" s="949"/>
      <c r="Y38" s="949"/>
      <c r="Z38" s="949"/>
      <c r="AA38" s="949"/>
    </row>
    <row r="39" spans="2:27" s="112" customFormat="1" ht="17.25" customHeight="1" x14ac:dyDescent="0.15">
      <c r="B39" s="39"/>
      <c r="C39" s="143"/>
      <c r="D39" s="143"/>
      <c r="O39" s="157"/>
      <c r="P39" s="157"/>
      <c r="Q39" s="157"/>
      <c r="R39" s="157"/>
      <c r="S39" s="157"/>
      <c r="T39" s="157"/>
      <c r="U39" s="158"/>
      <c r="V39" s="157"/>
      <c r="W39" s="159"/>
      <c r="Y39" s="113"/>
      <c r="AA39" s="143"/>
    </row>
    <row r="40" spans="2:27" s="36" customFormat="1" ht="22.5" customHeight="1" x14ac:dyDescent="0.15">
      <c r="B40" s="396" t="s">
        <v>94</v>
      </c>
      <c r="C40" s="754"/>
      <c r="D40" s="754"/>
      <c r="E40" s="754"/>
      <c r="F40" s="397"/>
      <c r="G40" s="396" t="s">
        <v>227</v>
      </c>
      <c r="H40" s="397"/>
      <c r="I40" s="877"/>
      <c r="J40" s="878"/>
      <c r="K40" s="878"/>
      <c r="L40" s="878"/>
      <c r="M40" s="879"/>
      <c r="N40" s="396" t="s">
        <v>91</v>
      </c>
      <c r="O40" s="397"/>
      <c r="P40" s="398"/>
      <c r="Q40" s="399"/>
      <c r="R40" s="399"/>
      <c r="S40" s="399"/>
      <c r="T40" s="400"/>
      <c r="U40" s="396" t="s">
        <v>80</v>
      </c>
      <c r="V40" s="397"/>
      <c r="W40" s="398"/>
      <c r="X40" s="399"/>
      <c r="Y40" s="399"/>
      <c r="Z40" s="399"/>
      <c r="AA40" s="400"/>
    </row>
    <row r="41" spans="2:27" s="36" customFormat="1" ht="22.5" customHeight="1" x14ac:dyDescent="0.15">
      <c r="B41" s="396" t="s">
        <v>95</v>
      </c>
      <c r="C41" s="754"/>
      <c r="D41" s="754"/>
      <c r="E41" s="754"/>
      <c r="F41" s="397"/>
      <c r="G41" s="396" t="s">
        <v>96</v>
      </c>
      <c r="H41" s="397"/>
      <c r="I41" s="877"/>
      <c r="J41" s="878"/>
      <c r="K41" s="878"/>
      <c r="L41" s="878"/>
      <c r="M41" s="879"/>
      <c r="N41" s="396" t="s">
        <v>93</v>
      </c>
      <c r="O41" s="397"/>
      <c r="P41" s="877"/>
      <c r="Q41" s="878"/>
      <c r="R41" s="878"/>
      <c r="S41" s="878"/>
      <c r="T41" s="878"/>
      <c r="U41" s="878"/>
      <c r="V41" s="878"/>
      <c r="W41" s="878"/>
      <c r="X41" s="878"/>
      <c r="Y41" s="878"/>
      <c r="Z41" s="878"/>
      <c r="AA41" s="879"/>
    </row>
    <row r="42" spans="2:27" s="112" customFormat="1" ht="17.25" customHeight="1" x14ac:dyDescent="0.15">
      <c r="B42" s="40"/>
      <c r="C42" s="143"/>
      <c r="D42" s="143"/>
      <c r="U42" s="143"/>
      <c r="V42" s="143"/>
      <c r="W42" s="143"/>
      <c r="X42" s="143"/>
      <c r="Y42" s="143"/>
      <c r="Z42" s="143"/>
      <c r="AA42" s="143"/>
    </row>
    <row r="43" spans="2:27" ht="30.75" customHeight="1" x14ac:dyDescent="0.15">
      <c r="B43" s="2" t="s">
        <v>154</v>
      </c>
      <c r="H43" s="2"/>
      <c r="AA43" s="169" t="str">
        <f>IF(G$23="","",G$23)</f>
        <v/>
      </c>
    </row>
    <row r="44" spans="2:27" ht="17.25" customHeight="1" x14ac:dyDescent="0.15">
      <c r="B44" s="5" t="s">
        <v>147</v>
      </c>
      <c r="C44" s="6"/>
      <c r="D44" s="6"/>
      <c r="F44" s="6"/>
      <c r="G44" s="6"/>
      <c r="H44" s="6"/>
      <c r="I44" s="6"/>
      <c r="J44" s="6"/>
      <c r="K44" s="6"/>
      <c r="L44" s="6"/>
      <c r="M44" s="6"/>
      <c r="N44" s="6"/>
      <c r="O44" s="6"/>
      <c r="P44" s="6"/>
      <c r="Q44" s="6"/>
      <c r="R44" s="6"/>
      <c r="S44" s="6"/>
      <c r="T44" s="6"/>
      <c r="U44" s="6"/>
      <c r="V44" s="6"/>
      <c r="W44" s="6"/>
      <c r="X44" s="6"/>
      <c r="Y44" s="6"/>
      <c r="Z44" s="6"/>
      <c r="AA44" s="7"/>
    </row>
    <row r="45" spans="2:27" s="3" customFormat="1" ht="17.25" customHeight="1" x14ac:dyDescent="0.15">
      <c r="B45" s="869" t="s">
        <v>124</v>
      </c>
      <c r="C45" s="870"/>
      <c r="D45" s="870"/>
      <c r="E45" s="870"/>
      <c r="F45" s="870"/>
      <c r="G45" s="870"/>
      <c r="H45" s="870"/>
      <c r="I45" s="870"/>
      <c r="J45" s="870"/>
      <c r="K45" s="870"/>
      <c r="L45" s="870"/>
      <c r="M45" s="870"/>
      <c r="N45" s="870"/>
      <c r="O45" s="870"/>
      <c r="P45" s="870"/>
      <c r="Q45" s="870"/>
      <c r="R45" s="870"/>
      <c r="S45" s="870"/>
      <c r="T45" s="870"/>
      <c r="U45" s="870"/>
      <c r="V45" s="870"/>
      <c r="W45" s="870"/>
      <c r="X45" s="870"/>
      <c r="Y45" s="870"/>
      <c r="Z45" s="870"/>
      <c r="AA45" s="871"/>
    </row>
    <row r="46" spans="2:27" s="3" customFormat="1" ht="37.5" customHeight="1" x14ac:dyDescent="0.15">
      <c r="B46" s="872" t="s">
        <v>146</v>
      </c>
      <c r="C46" s="873"/>
      <c r="D46" s="873"/>
      <c r="E46" s="873"/>
      <c r="F46" s="873"/>
      <c r="G46" s="873"/>
      <c r="H46" s="873"/>
      <c r="I46" s="873"/>
      <c r="J46" s="873"/>
      <c r="K46" s="873"/>
      <c r="L46" s="873"/>
      <c r="M46" s="873"/>
      <c r="N46" s="873"/>
      <c r="O46" s="873"/>
      <c r="P46" s="873"/>
      <c r="Q46" s="873"/>
      <c r="R46" s="873"/>
      <c r="S46" s="873"/>
      <c r="T46" s="873"/>
      <c r="U46" s="873"/>
      <c r="V46" s="873"/>
      <c r="W46" s="873"/>
      <c r="X46" s="873"/>
      <c r="Y46" s="873"/>
      <c r="Z46" s="873"/>
      <c r="AA46" s="874"/>
    </row>
    <row r="47" spans="2:27" s="3" customFormat="1" ht="27" customHeight="1" x14ac:dyDescent="0.15">
      <c r="B47" s="872" t="s">
        <v>125</v>
      </c>
      <c r="C47" s="873"/>
      <c r="D47" s="873"/>
      <c r="E47" s="873"/>
      <c r="F47" s="873"/>
      <c r="G47" s="873"/>
      <c r="H47" s="873"/>
      <c r="I47" s="873"/>
      <c r="J47" s="873"/>
      <c r="K47" s="873"/>
      <c r="L47" s="873"/>
      <c r="M47" s="873"/>
      <c r="N47" s="873"/>
      <c r="O47" s="873"/>
      <c r="P47" s="873"/>
      <c r="Q47" s="873"/>
      <c r="R47" s="873"/>
      <c r="S47" s="873"/>
      <c r="T47" s="873"/>
      <c r="U47" s="873"/>
      <c r="V47" s="873"/>
      <c r="W47" s="873"/>
      <c r="X47" s="873"/>
      <c r="Y47" s="873"/>
      <c r="Z47" s="873"/>
      <c r="AA47" s="874"/>
    </row>
    <row r="48" spans="2:27" s="3" customFormat="1" ht="17.25" customHeight="1" x14ac:dyDescent="0.15">
      <c r="B48" s="941" t="s">
        <v>13</v>
      </c>
      <c r="C48" s="873"/>
      <c r="D48" s="873"/>
      <c r="E48" s="873"/>
      <c r="F48" s="873"/>
      <c r="G48" s="873"/>
      <c r="H48" s="873"/>
      <c r="I48" s="873"/>
      <c r="J48" s="873"/>
      <c r="K48" s="873"/>
      <c r="L48" s="873"/>
      <c r="M48" s="873"/>
      <c r="N48" s="873"/>
      <c r="O48" s="873"/>
      <c r="P48" s="873"/>
      <c r="Q48" s="873"/>
      <c r="R48" s="873"/>
      <c r="S48" s="873"/>
      <c r="T48" s="873"/>
      <c r="U48" s="873"/>
      <c r="V48" s="873"/>
      <c r="W48" s="873"/>
      <c r="X48" s="873"/>
      <c r="Y48" s="873"/>
      <c r="Z48" s="873"/>
      <c r="AA48" s="874"/>
    </row>
    <row r="49" spans="2:27" ht="27" customHeight="1" x14ac:dyDescent="0.15">
      <c r="B49" s="942" t="s">
        <v>86</v>
      </c>
      <c r="C49" s="943"/>
      <c r="D49" s="943"/>
      <c r="E49" s="943"/>
      <c r="F49" s="943"/>
      <c r="G49" s="943"/>
      <c r="H49" s="943"/>
      <c r="I49" s="943"/>
      <c r="J49" s="943"/>
      <c r="K49" s="943"/>
      <c r="L49" s="943"/>
      <c r="M49" s="943"/>
      <c r="N49" s="943"/>
      <c r="O49" s="943"/>
      <c r="P49" s="943"/>
      <c r="Q49" s="943"/>
      <c r="R49" s="943"/>
      <c r="S49" s="943"/>
      <c r="T49" s="943"/>
      <c r="U49" s="943"/>
      <c r="V49" s="943"/>
      <c r="W49" s="943"/>
      <c r="X49" s="943"/>
      <c r="Y49" s="943"/>
      <c r="Z49" s="943"/>
      <c r="AA49" s="944"/>
    </row>
    <row r="50" spans="2:27" ht="17.25" customHeight="1" x14ac:dyDescent="0.15">
      <c r="H50" s="8"/>
    </row>
    <row r="51" spans="2:27" ht="17.25" customHeight="1" x14ac:dyDescent="0.15">
      <c r="B51" s="17" t="s">
        <v>128</v>
      </c>
    </row>
    <row r="52" spans="2:27" ht="16.5" customHeight="1" thickBot="1" x14ac:dyDescent="0.2">
      <c r="C52" s="102" t="s">
        <v>240</v>
      </c>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row>
    <row r="53" spans="2:27" ht="17.25" customHeight="1" thickTop="1" x14ac:dyDescent="0.15">
      <c r="H53" s="938" t="s">
        <v>40</v>
      </c>
      <c r="I53" s="939"/>
      <c r="J53" s="939"/>
      <c r="K53" s="939"/>
      <c r="L53" s="939"/>
      <c r="M53" s="939"/>
      <c r="N53" s="939"/>
      <c r="O53" s="939"/>
      <c r="P53" s="939"/>
      <c r="Q53" s="940"/>
      <c r="R53" s="938" t="s">
        <v>41</v>
      </c>
      <c r="S53" s="939"/>
      <c r="T53" s="939"/>
      <c r="U53" s="939"/>
      <c r="V53" s="939"/>
      <c r="W53" s="939"/>
      <c r="X53" s="939"/>
      <c r="Y53" s="939"/>
      <c r="Z53" s="601" t="s">
        <v>178</v>
      </c>
      <c r="AA53" s="640"/>
    </row>
    <row r="54" spans="2:27" s="9" customFormat="1" ht="47.25" customHeight="1" x14ac:dyDescent="0.15">
      <c r="B54" s="867" t="s">
        <v>0</v>
      </c>
      <c r="C54" s="867"/>
      <c r="D54" s="867"/>
      <c r="E54" s="21"/>
      <c r="F54" s="866" t="s">
        <v>70</v>
      </c>
      <c r="G54" s="867"/>
      <c r="H54" s="866" t="s">
        <v>58</v>
      </c>
      <c r="I54" s="867"/>
      <c r="J54" s="866" t="s">
        <v>59</v>
      </c>
      <c r="K54" s="867"/>
      <c r="L54" s="866" t="s">
        <v>60</v>
      </c>
      <c r="M54" s="867"/>
      <c r="N54" s="866" t="s">
        <v>4</v>
      </c>
      <c r="O54" s="409"/>
      <c r="P54" s="866" t="s">
        <v>7</v>
      </c>
      <c r="Q54" s="867"/>
      <c r="R54" s="411" t="s">
        <v>55</v>
      </c>
      <c r="S54" s="867"/>
      <c r="T54" s="866" t="s">
        <v>56</v>
      </c>
      <c r="U54" s="867"/>
      <c r="V54" s="866" t="s">
        <v>57</v>
      </c>
      <c r="W54" s="366"/>
      <c r="X54" s="866" t="s">
        <v>6</v>
      </c>
      <c r="Y54" s="409"/>
      <c r="Z54" s="858"/>
      <c r="AA54" s="859"/>
    </row>
    <row r="55" spans="2:27" s="9" customFormat="1" ht="17.25" customHeight="1" x14ac:dyDescent="0.15">
      <c r="B55" s="612"/>
      <c r="C55" s="613"/>
      <c r="D55" s="614"/>
      <c r="E55" s="27" t="str">
        <f>IF(B55="","",B55&amp;F55)</f>
        <v/>
      </c>
      <c r="F55" s="971" t="str">
        <f>IF(OR($I$27="",B55=""),"",DATE(YEAR($I$27),MONTH($I$27),DAY($I$27)))</f>
        <v/>
      </c>
      <c r="G55" s="971"/>
      <c r="H55" s="860"/>
      <c r="I55" s="860"/>
      <c r="J55" s="860"/>
      <c r="K55" s="860"/>
      <c r="L55" s="842" t="str">
        <f>IF(F55="","",IF(J55&lt;1,"－",ROUND(H55/J55,2)))</f>
        <v/>
      </c>
      <c r="M55" s="843"/>
      <c r="N55" s="864" t="str">
        <f>IF(F55="","",IF(OR(J55&lt;1,J56&lt;1,J57&lt;1),"－",ROUND(SUM(L55:M57)/3,2)))</f>
        <v/>
      </c>
      <c r="O55" s="865"/>
      <c r="P55" s="864" t="str">
        <f>IF(F55="","",IF(N55="－",N55,ROUND(N55*0.8,2)))</f>
        <v/>
      </c>
      <c r="Q55" s="864"/>
      <c r="R55" s="464"/>
      <c r="S55" s="860"/>
      <c r="T55" s="860"/>
      <c r="U55" s="860"/>
      <c r="V55" s="842" t="str">
        <f>IF(F55="","",IF(T55&lt;1,"－",ROUND(R55/T55,2)))</f>
        <v/>
      </c>
      <c r="W55" s="845"/>
      <c r="X55" s="864" t="str">
        <f>IF(F55="","",IF(OR(T55&lt;1,T56&lt;1,T57&lt;1),"－",ROUND(SUM(V55:W57)/3,2)))</f>
        <v/>
      </c>
      <c r="Y55" s="865"/>
      <c r="Z55" s="854" t="str">
        <f>IF(B55="","",IF(OR(P55="－",X55="－"),"比較不能",IF(P55&lt;X55,"Ｃ＜Ｂ","Ｃ≧Ｂ")))</f>
        <v/>
      </c>
      <c r="AA55" s="855"/>
    </row>
    <row r="56" spans="2:27" s="9" customFormat="1" ht="17.25" customHeight="1" x14ac:dyDescent="0.15">
      <c r="B56" s="615"/>
      <c r="C56" s="616"/>
      <c r="D56" s="617"/>
      <c r="E56" s="27" t="str">
        <f>IF(B55="","",B55&amp;F56)</f>
        <v/>
      </c>
      <c r="F56" s="971" t="str">
        <f>IF(OR($I$27="",B55=""),"",DATE(YEAR($I$27)-1,MONTH($I$27),DAY($I$27)))</f>
        <v/>
      </c>
      <c r="G56" s="971"/>
      <c r="H56" s="860"/>
      <c r="I56" s="860"/>
      <c r="J56" s="860"/>
      <c r="K56" s="860"/>
      <c r="L56" s="842" t="str">
        <f>IF(F56="","",IF(J56&lt;1,"－",ROUND(H56/J56,2)))</f>
        <v/>
      </c>
      <c r="M56" s="843"/>
      <c r="N56" s="864"/>
      <c r="O56" s="865"/>
      <c r="P56" s="864"/>
      <c r="Q56" s="864"/>
      <c r="R56" s="464"/>
      <c r="S56" s="860"/>
      <c r="T56" s="860"/>
      <c r="U56" s="860"/>
      <c r="V56" s="842" t="str">
        <f t="shared" ref="V56:V63" si="1">IF(F56="","",IF(T56&lt;1,"－",ROUND(R56/T56,2)))</f>
        <v/>
      </c>
      <c r="W56" s="845"/>
      <c r="X56" s="864"/>
      <c r="Y56" s="865"/>
      <c r="Z56" s="856"/>
      <c r="AA56" s="857"/>
    </row>
    <row r="57" spans="2:27" s="9" customFormat="1" ht="17.25" customHeight="1" x14ac:dyDescent="0.15">
      <c r="B57" s="618"/>
      <c r="C57" s="619"/>
      <c r="D57" s="620"/>
      <c r="E57" s="27" t="str">
        <f>IF(B55="","",B55&amp;F57)</f>
        <v/>
      </c>
      <c r="F57" s="971" t="str">
        <f>IF(OR($I$27="",B55=""),"",DATE(YEAR($I$27)-2,MONTH($I$27),DAY($I$27)))</f>
        <v/>
      </c>
      <c r="G57" s="971"/>
      <c r="H57" s="860"/>
      <c r="I57" s="860"/>
      <c r="J57" s="860"/>
      <c r="K57" s="860"/>
      <c r="L57" s="842" t="str">
        <f t="shared" ref="L57:L62" si="2">IF(F57="","",IF(J57&lt;1,"－",ROUND(H57/J57,2)))</f>
        <v/>
      </c>
      <c r="M57" s="843"/>
      <c r="N57" s="864"/>
      <c r="O57" s="865"/>
      <c r="P57" s="864"/>
      <c r="Q57" s="864"/>
      <c r="R57" s="464"/>
      <c r="S57" s="860"/>
      <c r="T57" s="860"/>
      <c r="U57" s="860"/>
      <c r="V57" s="842" t="str">
        <f t="shared" si="1"/>
        <v/>
      </c>
      <c r="W57" s="845"/>
      <c r="X57" s="864"/>
      <c r="Y57" s="865"/>
      <c r="Z57" s="858"/>
      <c r="AA57" s="859"/>
    </row>
    <row r="58" spans="2:27" s="9" customFormat="1" ht="17.25" customHeight="1" x14ac:dyDescent="0.15">
      <c r="B58" s="847"/>
      <c r="C58" s="847"/>
      <c r="D58" s="847"/>
      <c r="E58" s="27" t="str">
        <f>IF(B58="","",B58&amp;F58)</f>
        <v/>
      </c>
      <c r="F58" s="971" t="str">
        <f>IF(OR($I$27="",B58=""),"",DATE(YEAR($I$27),MONTH($I$27),DAY($I$27)))</f>
        <v/>
      </c>
      <c r="G58" s="971"/>
      <c r="H58" s="860"/>
      <c r="I58" s="860"/>
      <c r="J58" s="860"/>
      <c r="K58" s="860"/>
      <c r="L58" s="842" t="str">
        <f t="shared" si="2"/>
        <v/>
      </c>
      <c r="M58" s="843"/>
      <c r="N58" s="850" t="str">
        <f>IF(F58="","",IF(OR(J58&lt;1,J59&lt;1,J60&lt;1),"－",ROUND(SUM(L58:M60)/3,2)))</f>
        <v/>
      </c>
      <c r="O58" s="842"/>
      <c r="P58" s="850" t="str">
        <f>IF(F58="","",IF(N58="－",N58,ROUND(N58*0.8,2)))</f>
        <v/>
      </c>
      <c r="Q58" s="850"/>
      <c r="R58" s="464"/>
      <c r="S58" s="860"/>
      <c r="T58" s="860"/>
      <c r="U58" s="860"/>
      <c r="V58" s="842" t="str">
        <f t="shared" si="1"/>
        <v/>
      </c>
      <c r="W58" s="845"/>
      <c r="X58" s="850" t="str">
        <f>IF(F58="","",IF(OR(T58&lt;1,T59&lt;1,T60&lt;1),"－",ROUND(SUM(V58:W60)/3,2)))</f>
        <v/>
      </c>
      <c r="Y58" s="842"/>
      <c r="Z58" s="854" t="str">
        <f>IF(B58="","",IF(OR(P58="－",X58="－"),"比較不能",IF(P58&lt;X58,"Ｃ＜Ｂ","Ｃ≧Ｂ")))</f>
        <v/>
      </c>
      <c r="AA58" s="855"/>
    </row>
    <row r="59" spans="2:27" s="9" customFormat="1" ht="17.25" customHeight="1" x14ac:dyDescent="0.15">
      <c r="B59" s="847"/>
      <c r="C59" s="847"/>
      <c r="D59" s="847"/>
      <c r="E59" s="27" t="str">
        <f>IF(B58="","",B58&amp;F59)</f>
        <v/>
      </c>
      <c r="F59" s="971" t="str">
        <f>IF(OR($I$27="",B58=""),"",DATE(YEAR($I$27)-1,MONTH($I$27),DAY($I$27)))</f>
        <v/>
      </c>
      <c r="G59" s="971"/>
      <c r="H59" s="860"/>
      <c r="I59" s="860"/>
      <c r="J59" s="860"/>
      <c r="K59" s="860"/>
      <c r="L59" s="842" t="str">
        <f t="shared" si="2"/>
        <v/>
      </c>
      <c r="M59" s="843"/>
      <c r="N59" s="850"/>
      <c r="O59" s="842"/>
      <c r="P59" s="850"/>
      <c r="Q59" s="850"/>
      <c r="R59" s="464"/>
      <c r="S59" s="860"/>
      <c r="T59" s="860"/>
      <c r="U59" s="860"/>
      <c r="V59" s="842" t="str">
        <f t="shared" si="1"/>
        <v/>
      </c>
      <c r="W59" s="845"/>
      <c r="X59" s="850"/>
      <c r="Y59" s="842"/>
      <c r="Z59" s="856"/>
      <c r="AA59" s="857"/>
    </row>
    <row r="60" spans="2:27" s="9" customFormat="1" ht="17.25" customHeight="1" x14ac:dyDescent="0.15">
      <c r="B60" s="847"/>
      <c r="C60" s="847"/>
      <c r="D60" s="847"/>
      <c r="E60" s="27" t="str">
        <f>IF(B58="","",B58&amp;F60)</f>
        <v/>
      </c>
      <c r="F60" s="971" t="str">
        <f>IF(OR($I$27="",B58=""),"",DATE(YEAR($I$27)-2,MONTH($I$27),DAY($I$27)))</f>
        <v/>
      </c>
      <c r="G60" s="971"/>
      <c r="H60" s="860"/>
      <c r="I60" s="860"/>
      <c r="J60" s="860"/>
      <c r="K60" s="860"/>
      <c r="L60" s="842" t="str">
        <f t="shared" si="2"/>
        <v/>
      </c>
      <c r="M60" s="843"/>
      <c r="N60" s="850"/>
      <c r="O60" s="842"/>
      <c r="P60" s="850"/>
      <c r="Q60" s="850"/>
      <c r="R60" s="464"/>
      <c r="S60" s="860"/>
      <c r="T60" s="860"/>
      <c r="U60" s="860"/>
      <c r="V60" s="842" t="str">
        <f t="shared" si="1"/>
        <v/>
      </c>
      <c r="W60" s="845"/>
      <c r="X60" s="850"/>
      <c r="Y60" s="842"/>
      <c r="Z60" s="858"/>
      <c r="AA60" s="859"/>
    </row>
    <row r="61" spans="2:27" s="9" customFormat="1" ht="17.25" customHeight="1" x14ac:dyDescent="0.15">
      <c r="B61" s="846"/>
      <c r="C61" s="846"/>
      <c r="D61" s="846"/>
      <c r="E61" s="27" t="str">
        <f>IF(B61="","",B61&amp;F61)</f>
        <v/>
      </c>
      <c r="F61" s="971" t="str">
        <f>IF(OR($I$27="",B61=""),"",DATE(YEAR($I$27),MONTH($I$27),DAY($I$27)))</f>
        <v/>
      </c>
      <c r="G61" s="971"/>
      <c r="H61" s="849"/>
      <c r="I61" s="849"/>
      <c r="J61" s="849"/>
      <c r="K61" s="849"/>
      <c r="L61" s="842" t="str">
        <f t="shared" si="2"/>
        <v/>
      </c>
      <c r="M61" s="843"/>
      <c r="N61" s="850" t="str">
        <f>IF(F61="","",IF(OR(J61&lt;1,J62&lt;1,J63&lt;1),"－",ROUND(SUM(L61:M63)/3,2)))</f>
        <v/>
      </c>
      <c r="O61" s="842"/>
      <c r="P61" s="850" t="str">
        <f>IF(F61="","",IF(N61="－",N61,ROUND(N61*0.8,2)))</f>
        <v/>
      </c>
      <c r="Q61" s="850"/>
      <c r="R61" s="705"/>
      <c r="S61" s="849"/>
      <c r="T61" s="849"/>
      <c r="U61" s="849"/>
      <c r="V61" s="842" t="str">
        <f t="shared" si="1"/>
        <v/>
      </c>
      <c r="W61" s="845"/>
      <c r="X61" s="850" t="str">
        <f>IF(F61="","",IF(OR(T61&lt;1,T62&lt;1,T63&lt;1),"－",ROUND(SUM(V61:W63)/3,2)))</f>
        <v/>
      </c>
      <c r="Y61" s="842"/>
      <c r="Z61" s="854" t="str">
        <f>IF(B61="","",IF(OR(P61="－",X61="－"),"比較不能",IF(P61&lt;X61,"Ｃ＜Ｂ","Ｃ≧Ｂ")))</f>
        <v/>
      </c>
      <c r="AA61" s="855"/>
    </row>
    <row r="62" spans="2:27" s="9" customFormat="1" ht="17.25" customHeight="1" x14ac:dyDescent="0.15">
      <c r="B62" s="847"/>
      <c r="C62" s="847"/>
      <c r="D62" s="847"/>
      <c r="E62" s="27" t="str">
        <f>IF(B61="","",B61&amp;F62)</f>
        <v/>
      </c>
      <c r="F62" s="971" t="str">
        <f>IF(OR($I$27="",B61=""),"",DATE(YEAR($I$27)-1,MONTH($I$27),DAY($I$27)))</f>
        <v/>
      </c>
      <c r="G62" s="971"/>
      <c r="H62" s="860"/>
      <c r="I62" s="860"/>
      <c r="J62" s="860"/>
      <c r="K62" s="860"/>
      <c r="L62" s="842" t="str">
        <f t="shared" si="2"/>
        <v/>
      </c>
      <c r="M62" s="843"/>
      <c r="N62" s="850"/>
      <c r="O62" s="842"/>
      <c r="P62" s="850"/>
      <c r="Q62" s="850"/>
      <c r="R62" s="464"/>
      <c r="S62" s="860"/>
      <c r="T62" s="860"/>
      <c r="U62" s="860"/>
      <c r="V62" s="842" t="str">
        <f t="shared" si="1"/>
        <v/>
      </c>
      <c r="W62" s="845"/>
      <c r="X62" s="850"/>
      <c r="Y62" s="842"/>
      <c r="Z62" s="856"/>
      <c r="AA62" s="857"/>
    </row>
    <row r="63" spans="2:27" s="9" customFormat="1" ht="17.25" customHeight="1" thickBot="1" x14ac:dyDescent="0.2">
      <c r="B63" s="847"/>
      <c r="C63" s="847"/>
      <c r="D63" s="847"/>
      <c r="E63" s="65" t="str">
        <f>IF(B61="","",B61&amp;F63)</f>
        <v/>
      </c>
      <c r="F63" s="971" t="str">
        <f>IF(OR($I$27="",B61=""),"",DATE(YEAR($I$27)-2,MONTH($I$27),DAY($I$27)))</f>
        <v/>
      </c>
      <c r="G63" s="971"/>
      <c r="H63" s="861"/>
      <c r="I63" s="861"/>
      <c r="J63" s="861"/>
      <c r="K63" s="861"/>
      <c r="L63" s="852" t="str">
        <f>IF(F63="","",IF(J63&lt;1,"－",ROUND(H63/J63,2)))</f>
        <v/>
      </c>
      <c r="M63" s="862"/>
      <c r="N63" s="851"/>
      <c r="O63" s="852"/>
      <c r="P63" s="851"/>
      <c r="Q63" s="851"/>
      <c r="R63" s="863"/>
      <c r="S63" s="861"/>
      <c r="T63" s="861"/>
      <c r="U63" s="861"/>
      <c r="V63" s="852" t="str">
        <f t="shared" si="1"/>
        <v/>
      </c>
      <c r="W63" s="853"/>
      <c r="X63" s="851"/>
      <c r="Y63" s="852"/>
      <c r="Z63" s="856"/>
      <c r="AA63" s="857"/>
    </row>
    <row r="64" spans="2:27" ht="27" customHeight="1" thickTop="1" thickBot="1" x14ac:dyDescent="0.2">
      <c r="C64" s="64"/>
      <c r="D64" s="64"/>
      <c r="E64" s="64"/>
      <c r="F64" s="688" t="s">
        <v>194</v>
      </c>
      <c r="G64" s="689"/>
      <c r="H64" s="689"/>
      <c r="I64" s="689"/>
      <c r="J64" s="689"/>
      <c r="K64" s="689"/>
      <c r="L64" s="689"/>
      <c r="M64" s="689"/>
      <c r="N64" s="689"/>
      <c r="O64" s="689"/>
      <c r="P64" s="689"/>
      <c r="Q64" s="689"/>
      <c r="R64" s="689"/>
      <c r="S64" s="689"/>
      <c r="T64" s="689"/>
      <c r="U64" s="689"/>
      <c r="V64" s="689"/>
      <c r="W64" s="689"/>
      <c r="X64" s="751"/>
      <c r="Y64" s="751"/>
      <c r="Z64" s="751"/>
      <c r="AA64" s="752"/>
    </row>
    <row r="65" spans="2:28" ht="17.25" customHeight="1" thickTop="1" x14ac:dyDescent="0.15">
      <c r="P65" s="15"/>
      <c r="Q65" s="15"/>
      <c r="AA65" s="35" t="str">
        <f>IF(G23="","",IF(X64="","リストから選択↑　",""))</f>
        <v/>
      </c>
    </row>
    <row r="66" spans="2:28" ht="16.5" customHeight="1" x14ac:dyDescent="0.15">
      <c r="B66" s="606" t="s">
        <v>207</v>
      </c>
      <c r="C66" s="606"/>
      <c r="D66" s="606"/>
      <c r="E66" s="606"/>
      <c r="F66" s="606"/>
      <c r="G66" s="606"/>
      <c r="H66" s="606"/>
      <c r="I66" s="606"/>
      <c r="J66" s="606"/>
      <c r="K66" s="606"/>
      <c r="L66" s="606"/>
      <c r="M66" s="606"/>
      <c r="N66" s="606"/>
      <c r="O66" s="606"/>
      <c r="P66" s="606"/>
      <c r="Q66" s="606"/>
      <c r="R66" s="606"/>
      <c r="S66" s="606"/>
      <c r="T66" s="606"/>
      <c r="U66" s="606"/>
      <c r="V66" s="606"/>
      <c r="W66" s="606"/>
      <c r="X66" s="606"/>
      <c r="Y66" s="606"/>
      <c r="Z66" s="606"/>
      <c r="AA66" s="606"/>
    </row>
    <row r="67" spans="2:28" ht="27.75" customHeight="1" x14ac:dyDescent="0.15">
      <c r="B67" s="97"/>
      <c r="C67" s="606" t="s">
        <v>241</v>
      </c>
      <c r="D67" s="606"/>
      <c r="E67" s="606"/>
      <c r="F67" s="606"/>
      <c r="G67" s="606"/>
      <c r="H67" s="606"/>
      <c r="I67" s="606"/>
      <c r="J67" s="606"/>
      <c r="K67" s="606"/>
      <c r="L67" s="606"/>
      <c r="M67" s="606"/>
      <c r="N67" s="606"/>
      <c r="O67" s="606"/>
      <c r="P67" s="606"/>
      <c r="Q67" s="606"/>
      <c r="R67" s="606"/>
      <c r="S67" s="606"/>
      <c r="T67" s="606"/>
      <c r="U67" s="606"/>
      <c r="V67" s="606"/>
      <c r="W67" s="606"/>
      <c r="X67" s="606"/>
      <c r="Y67" s="606"/>
      <c r="Z67" s="606"/>
      <c r="AA67" s="606"/>
    </row>
    <row r="68" spans="2:28" ht="17.25" customHeight="1" x14ac:dyDescent="0.15">
      <c r="B68" s="15"/>
      <c r="C68" s="15"/>
      <c r="D68" s="15"/>
      <c r="F68" s="15"/>
      <c r="G68" s="15"/>
      <c r="H68" s="449" t="s">
        <v>40</v>
      </c>
      <c r="I68" s="450"/>
      <c r="J68" s="450"/>
      <c r="K68" s="451"/>
      <c r="L68" s="449" t="s">
        <v>41</v>
      </c>
      <c r="M68" s="450"/>
      <c r="N68" s="450"/>
      <c r="O68" s="451"/>
      <c r="P68" s="732" t="s">
        <v>63</v>
      </c>
      <c r="Q68" s="733"/>
      <c r="R68" s="733"/>
      <c r="S68" s="733"/>
      <c r="T68" s="733"/>
      <c r="U68" s="733"/>
      <c r="V68" s="733"/>
      <c r="W68" s="733"/>
      <c r="X68" s="733"/>
      <c r="Y68" s="734"/>
      <c r="Z68" s="10"/>
    </row>
    <row r="69" spans="2:28" ht="47.25" customHeight="1" x14ac:dyDescent="0.15">
      <c r="B69" s="637" t="s">
        <v>0</v>
      </c>
      <c r="C69" s="638"/>
      <c r="D69" s="729"/>
      <c r="E69" s="22"/>
      <c r="F69" s="637" t="s">
        <v>1</v>
      </c>
      <c r="G69" s="729"/>
      <c r="H69" s="366" t="s">
        <v>2</v>
      </c>
      <c r="I69" s="368"/>
      <c r="J69" s="366" t="s">
        <v>3</v>
      </c>
      <c r="K69" s="368"/>
      <c r="L69" s="366" t="s">
        <v>2</v>
      </c>
      <c r="M69" s="368"/>
      <c r="N69" s="366" t="s">
        <v>3</v>
      </c>
      <c r="O69" s="368"/>
      <c r="P69" s="46"/>
      <c r="Q69" s="47"/>
      <c r="R69" s="47"/>
      <c r="S69" s="48"/>
      <c r="T69" s="409" t="s">
        <v>61</v>
      </c>
      <c r="U69" s="368"/>
      <c r="V69" s="409" t="s">
        <v>62</v>
      </c>
      <c r="W69" s="368"/>
      <c r="X69" s="409" t="s">
        <v>167</v>
      </c>
      <c r="Y69" s="411"/>
      <c r="Z69" s="10"/>
    </row>
    <row r="70" spans="2:28" s="9" customFormat="1" ht="17.25" customHeight="1" x14ac:dyDescent="0.15">
      <c r="B70" s="553"/>
      <c r="C70" s="554"/>
      <c r="D70" s="555"/>
      <c r="E70" s="29" t="str">
        <f>IF(B70="","",B70&amp;F70)</f>
        <v/>
      </c>
      <c r="F70" s="972" t="str">
        <f>IF(AND($X$64="非該当",$B70&lt;&gt;""),DATE(YEAR($I$27),MONTH($I$27),DAY($I$27)),"")</f>
        <v/>
      </c>
      <c r="G70" s="973"/>
      <c r="H70" s="314" t="str">
        <f>IF($B70="","",VLOOKUP($E70,$E$55:$U$63,4,FALSE))</f>
        <v/>
      </c>
      <c r="I70" s="315"/>
      <c r="J70" s="314" t="str">
        <f>IF($B70="","",VLOOKUP($E70,$E$55:$U$63,6,FALSE))</f>
        <v/>
      </c>
      <c r="K70" s="315"/>
      <c r="L70" s="314" t="str">
        <f>IF($B70="","",VLOOKUP($E70,$E$55:$U$63,14,FALSE))</f>
        <v/>
      </c>
      <c r="M70" s="315"/>
      <c r="N70" s="314" t="str">
        <f>IF($B70="","",VLOOKUP($E70,$E$55:$U$63,16,FALSE))</f>
        <v/>
      </c>
      <c r="O70" s="315"/>
      <c r="P70" s="718" t="str">
        <f>IF(B70="","～",P$16&amp;"～"&amp;Q$18)</f>
        <v>～</v>
      </c>
      <c r="Q70" s="719"/>
      <c r="R70" s="719"/>
      <c r="S70" s="720"/>
      <c r="T70" s="842" t="str">
        <f>IF(B70="","",IF(OR(J70&lt;1,J71&lt;1,J72&lt;1),"－",ROUND((ROUND(H70/J70,2)+ROUND(H71/J71,2)+ROUND(H72/J72,2))/3,2)))</f>
        <v/>
      </c>
      <c r="U70" s="843"/>
      <c r="V70" s="842" t="str">
        <f>IF(B70="","",IF(OR(N70&lt;1,N71&lt;1,N72&lt;1),"－",ROUND((ROUND(L70/N70,2)+ROUND(L71/N71,2)+ROUND(L72/N72,2))/3,2)))</f>
        <v/>
      </c>
      <c r="W70" s="843"/>
      <c r="X70" s="825" t="str">
        <f>IF(B70="","",IF(OR(T70="－",V70="－"),"－",ROUND(T70/V70,2)))</f>
        <v/>
      </c>
      <c r="Y70" s="826"/>
      <c r="Z70" s="49"/>
    </row>
    <row r="71" spans="2:28" s="9" customFormat="1" ht="17.25" customHeight="1" x14ac:dyDescent="0.15">
      <c r="B71" s="564"/>
      <c r="C71" s="349"/>
      <c r="D71" s="565"/>
      <c r="E71" s="28" t="str">
        <f>IF(B70="","",B70&amp;F71)</f>
        <v/>
      </c>
      <c r="F71" s="972" t="str">
        <f>IF(AND($X$64="非該当",$B70&lt;&gt;""),DATE(YEAR($I$27)-1,MONTH($I$27),DAY($I$27)),"")</f>
        <v/>
      </c>
      <c r="G71" s="973"/>
      <c r="H71" s="314" t="str">
        <f>IF($B70="","",VLOOKUP($E71,$E$55:$U$63,4,FALSE))</f>
        <v/>
      </c>
      <c r="I71" s="315"/>
      <c r="J71" s="314" t="str">
        <f>IF($B70="","",VLOOKUP($E71,$E$55:$U$63,6,FALSE))</f>
        <v/>
      </c>
      <c r="K71" s="315"/>
      <c r="L71" s="314" t="str">
        <f>IF($B70="","",VLOOKUP($E71,$E$55:$U$63,14,FALSE))</f>
        <v/>
      </c>
      <c r="M71" s="315"/>
      <c r="N71" s="314" t="str">
        <f>IF($B70="","",VLOOKUP($E71,$E$55:$U$63,16,FALSE))</f>
        <v/>
      </c>
      <c r="O71" s="315"/>
      <c r="P71" s="718" t="str">
        <f>IF(B70="","～",P$17&amp;"～"&amp;Q$19)</f>
        <v>～</v>
      </c>
      <c r="Q71" s="719"/>
      <c r="R71" s="719"/>
      <c r="S71" s="720"/>
      <c r="T71" s="842" t="str">
        <f>IF(B70="","",IF(OR(J71&lt;1,J72&lt;1,J73&lt;1),"－",ROUND((ROUND(H71/J71,2)+ROUND(H72/J72,2)+ROUND(H73/J73,2))/3,2)))</f>
        <v/>
      </c>
      <c r="U71" s="843"/>
      <c r="V71" s="842" t="str">
        <f>IF(B70="","",IF(OR(N71&lt;1,N72&lt;1,N73&lt;1),"－",ROUND((ROUND(L71/N71,2)+ROUND(L72/N72,2)+ROUND(L73/N73,2))/3,2)))</f>
        <v/>
      </c>
      <c r="W71" s="843"/>
      <c r="X71" s="825" t="str">
        <f>IF(B70="","",IF(OR(T71="－",V71="－"),"－",ROUND(T71/V71,2)))</f>
        <v/>
      </c>
      <c r="Y71" s="826"/>
      <c r="Z71" s="49"/>
    </row>
    <row r="72" spans="2:28" s="9" customFormat="1" ht="17.25" customHeight="1" x14ac:dyDescent="0.15">
      <c r="B72" s="564"/>
      <c r="C72" s="349"/>
      <c r="D72" s="565"/>
      <c r="E72" s="28" t="str">
        <f>IF(B70="","",B70&amp;F72)</f>
        <v/>
      </c>
      <c r="F72" s="972" t="str">
        <f>IF(AND($X$64="非該当",$B70&lt;&gt;""),DATE(YEAR($I$27)-2,MONTH($I$27),DAY($I$27)),"")</f>
        <v/>
      </c>
      <c r="G72" s="973"/>
      <c r="H72" s="314" t="str">
        <f>IF($B70="","",VLOOKUP($E72,$E$55:$U$63,4,FALSE))</f>
        <v/>
      </c>
      <c r="I72" s="315"/>
      <c r="J72" s="314" t="str">
        <f>IF($B70="","",VLOOKUP($E72,$E$55:$U$63,6,FALSE))</f>
        <v/>
      </c>
      <c r="K72" s="315"/>
      <c r="L72" s="314" t="str">
        <f>IF($B70="","",VLOOKUP($E72,$E$55:$U$63,14,FALSE))</f>
        <v/>
      </c>
      <c r="M72" s="315"/>
      <c r="N72" s="314" t="str">
        <f>IF($B70="","",VLOOKUP($E72,$E$55:$U$63,16,FALSE))</f>
        <v/>
      </c>
      <c r="O72" s="315"/>
      <c r="P72" s="718" t="str">
        <f>IF(B70="","～",P$18&amp;"～"&amp;Q$20)</f>
        <v>～</v>
      </c>
      <c r="Q72" s="719"/>
      <c r="R72" s="719"/>
      <c r="S72" s="720"/>
      <c r="T72" s="842" t="str">
        <f>IF(B70="","",IF(OR(J72&lt;1,J73&lt;1,J74&lt;1),"－",ROUND((ROUND(H72/J72,2)+ROUND(H73/J73,2)+ROUND(H74/J74,2))/3,2)))</f>
        <v/>
      </c>
      <c r="U72" s="843"/>
      <c r="V72" s="842" t="str">
        <f>IF(B70="","",IF(OR(N72&lt;1,N73&lt;1,N74&lt;1),"－",ROUND((ROUND(L72/N72,2)+ROUND(L73/N73,2)+ROUND(L74/N74,2))/3,2)))</f>
        <v/>
      </c>
      <c r="W72" s="843"/>
      <c r="X72" s="825" t="str">
        <f>IF(B70="","",IF(OR(T72="－",V72="－"),"－",ROUND(T72/V72,2)))</f>
        <v/>
      </c>
      <c r="Y72" s="826"/>
      <c r="Z72" s="49"/>
    </row>
    <row r="73" spans="2:28" s="9" customFormat="1" ht="17.25" customHeight="1" x14ac:dyDescent="0.15">
      <c r="B73" s="564"/>
      <c r="C73" s="349"/>
      <c r="D73" s="565"/>
      <c r="E73" s="28"/>
      <c r="F73" s="972" t="str">
        <f>IF(AND($X$64="非該当",$B70&lt;&gt;""),DATE(YEAR($I$27)-3,MONTH($I$27),DAY($I$27)),"")</f>
        <v/>
      </c>
      <c r="G73" s="973"/>
      <c r="H73" s="318"/>
      <c r="I73" s="319"/>
      <c r="J73" s="318"/>
      <c r="K73" s="319"/>
      <c r="L73" s="318"/>
      <c r="M73" s="319"/>
      <c r="N73" s="318"/>
      <c r="O73" s="319"/>
      <c r="P73" s="86"/>
      <c r="Q73" s="87"/>
      <c r="R73" s="87"/>
      <c r="S73" s="87"/>
      <c r="T73" s="81"/>
      <c r="U73" s="81"/>
      <c r="V73" s="81"/>
      <c r="W73" s="81"/>
      <c r="X73" s="81"/>
      <c r="Y73" s="82"/>
      <c r="Z73" s="49"/>
    </row>
    <row r="74" spans="2:28" s="9" customFormat="1" ht="17.25" customHeight="1" x14ac:dyDescent="0.15">
      <c r="B74" s="566"/>
      <c r="C74" s="567"/>
      <c r="D74" s="568"/>
      <c r="E74" s="30"/>
      <c r="F74" s="972" t="str">
        <f>IF(AND($X$64="非該当",$B70&lt;&gt;""),DATE(YEAR($I$27)-4,MONTH($I$27),DAY($I$27)),"")</f>
        <v/>
      </c>
      <c r="G74" s="973"/>
      <c r="H74" s="318"/>
      <c r="I74" s="319"/>
      <c r="J74" s="318"/>
      <c r="K74" s="319"/>
      <c r="L74" s="318"/>
      <c r="M74" s="319"/>
      <c r="N74" s="318"/>
      <c r="O74" s="319"/>
      <c r="P74" s="88"/>
      <c r="Q74" s="89"/>
      <c r="R74" s="89"/>
      <c r="S74" s="89"/>
      <c r="T74" s="84"/>
      <c r="U74" s="84"/>
      <c r="V74" s="84"/>
      <c r="W74" s="84"/>
      <c r="X74" s="84"/>
      <c r="Y74" s="85"/>
      <c r="Z74" s="49"/>
    </row>
    <row r="75" spans="2:28" s="9" customFormat="1" ht="17.25" customHeight="1" x14ac:dyDescent="0.15">
      <c r="B75" s="553"/>
      <c r="C75" s="554"/>
      <c r="D75" s="555"/>
      <c r="E75" s="29" t="str">
        <f>IF(B75="","",B75&amp;F75)</f>
        <v/>
      </c>
      <c r="F75" s="972" t="str">
        <f>IF(AND($X$64="非該当",$B75&lt;&gt;""),DATE(YEAR($I$27),MONTH($I$27),DAY($I$27)),"")</f>
        <v/>
      </c>
      <c r="G75" s="973"/>
      <c r="H75" s="314" t="str">
        <f>IF($B75="","",VLOOKUP($E75,$E$55:$U$63,4,FALSE))</f>
        <v/>
      </c>
      <c r="I75" s="315"/>
      <c r="J75" s="314" t="str">
        <f>IF($B75="","",VLOOKUP($E75,$E$55:$U$63,6,FALSE))</f>
        <v/>
      </c>
      <c r="K75" s="315"/>
      <c r="L75" s="314" t="str">
        <f>IF($B75="","",VLOOKUP($E75,$E$55:$U$63,14,FALSE))</f>
        <v/>
      </c>
      <c r="M75" s="315"/>
      <c r="N75" s="314" t="str">
        <f>IF($B75="","",VLOOKUP($E75,$E$55:$U$63,16,FALSE))</f>
        <v/>
      </c>
      <c r="O75" s="315"/>
      <c r="P75" s="718" t="str">
        <f>IF(B75="","～",P$16&amp;"～"&amp;Q$18)</f>
        <v>～</v>
      </c>
      <c r="Q75" s="719"/>
      <c r="R75" s="719"/>
      <c r="S75" s="720"/>
      <c r="T75" s="842" t="str">
        <f>IF(B75="","",IF(OR(J75&lt;1,J76&lt;1,J77&lt;1),"－",ROUND((ROUND(H75/J75,2)+ROUND(H76/J76,2)+ROUND(H77/J77,2))/3,2)))</f>
        <v/>
      </c>
      <c r="U75" s="843"/>
      <c r="V75" s="842" t="str">
        <f>IF(B75="","",IF(OR(N75&lt;1,N76&lt;1,N77&lt;1),"－",ROUND((ROUND(L75/N75,2)+ROUND(L76/N76,2)+ROUND(L77/N77,2))/3,2)))</f>
        <v/>
      </c>
      <c r="W75" s="843"/>
      <c r="X75" s="825" t="str">
        <f>IF(B75="","",IF(OR(T75="－",V75="－"),"－",ROUND(T75/V75,2)))</f>
        <v/>
      </c>
      <c r="Y75" s="826"/>
      <c r="Z75" s="10"/>
    </row>
    <row r="76" spans="2:28" s="9" customFormat="1" ht="17.25" customHeight="1" x14ac:dyDescent="0.15">
      <c r="B76" s="564"/>
      <c r="C76" s="349"/>
      <c r="D76" s="565"/>
      <c r="E76" s="28" t="str">
        <f>IF(B75="","",B75&amp;F76)</f>
        <v/>
      </c>
      <c r="F76" s="972" t="str">
        <f>IF(AND($X$64="非該当",$B75&lt;&gt;""),DATE(YEAR($I$27)-1,MONTH($I$27),DAY($I$27)),"")</f>
        <v/>
      </c>
      <c r="G76" s="973"/>
      <c r="H76" s="314" t="str">
        <f>IF($B75="","",VLOOKUP($E76,$E$55:$U$63,4,FALSE))</f>
        <v/>
      </c>
      <c r="I76" s="315"/>
      <c r="J76" s="314" t="str">
        <f>IF($B75="","",VLOOKUP($E76,$E$55:$U$63,6,FALSE))</f>
        <v/>
      </c>
      <c r="K76" s="315"/>
      <c r="L76" s="314" t="str">
        <f>IF($B75="","",VLOOKUP($E76,$E$55:$U$63,14,FALSE))</f>
        <v/>
      </c>
      <c r="M76" s="315"/>
      <c r="N76" s="314" t="str">
        <f>IF($B75="","",VLOOKUP($E76,$E$55:$U$63,16,FALSE))</f>
        <v/>
      </c>
      <c r="O76" s="315"/>
      <c r="P76" s="718" t="str">
        <f>IF(B75="","～",P$17&amp;"～"&amp;Q$19)</f>
        <v>～</v>
      </c>
      <c r="Q76" s="719"/>
      <c r="R76" s="719"/>
      <c r="S76" s="720"/>
      <c r="T76" s="842" t="str">
        <f>IF(B75="","",IF(OR(J76&lt;1,J77&lt;1,J78&lt;1),"－",ROUND((ROUND(H76/J76,2)+ROUND(H77/J77,2)+ROUND(H78/J78,2))/3,2)))</f>
        <v/>
      </c>
      <c r="U76" s="843"/>
      <c r="V76" s="842" t="str">
        <f>IF(B75="","",IF(OR(N76&lt;1,N77&lt;1,N78&lt;1),"－",ROUND((ROUND(L76/N76,2)+ROUND(L77/N77,2)+ROUND(L78/N78,2))/3,2)))</f>
        <v/>
      </c>
      <c r="W76" s="843"/>
      <c r="X76" s="825" t="str">
        <f>IF(B75="","",IF(OR(T76="－",V76="－"),"－",ROUND(T76/V76,2)))</f>
        <v/>
      </c>
      <c r="Y76" s="826"/>
      <c r="Z76" s="10"/>
      <c r="AA76" s="45"/>
      <c r="AB76" s="45"/>
    </row>
    <row r="77" spans="2:28" s="9" customFormat="1" ht="17.25" customHeight="1" x14ac:dyDescent="0.15">
      <c r="B77" s="564"/>
      <c r="C77" s="349"/>
      <c r="D77" s="565"/>
      <c r="E77" s="28" t="str">
        <f>IF(B75="","",B75&amp;F77)</f>
        <v/>
      </c>
      <c r="F77" s="972" t="str">
        <f>IF(AND($X$64="非該当",$B75&lt;&gt;""),DATE(YEAR($I$27)-2,MONTH($I$27),DAY($I$27)),"")</f>
        <v/>
      </c>
      <c r="G77" s="973"/>
      <c r="H77" s="314" t="str">
        <f>IF($B75="","",VLOOKUP($E77,$E$55:$U$63,4,FALSE))</f>
        <v/>
      </c>
      <c r="I77" s="315"/>
      <c r="J77" s="314" t="str">
        <f>IF($B75="","",VLOOKUP($E77,$E$55:$U$63,6,FALSE))</f>
        <v/>
      </c>
      <c r="K77" s="315"/>
      <c r="L77" s="314" t="str">
        <f>IF($B75="","",VLOOKUP($E77,$E$55:$U$63,14,FALSE))</f>
        <v/>
      </c>
      <c r="M77" s="315"/>
      <c r="N77" s="314" t="str">
        <f>IF($B75="","",VLOOKUP($E77,$E$55:$U$63,16,FALSE))</f>
        <v/>
      </c>
      <c r="O77" s="315"/>
      <c r="P77" s="718" t="str">
        <f>IF(B75="","～",P$18&amp;"～"&amp;Q$20)</f>
        <v>～</v>
      </c>
      <c r="Q77" s="719"/>
      <c r="R77" s="719"/>
      <c r="S77" s="720"/>
      <c r="T77" s="842" t="str">
        <f>IF(B75="","",IF(OR(J77&lt;1,J78&lt;1,J79&lt;1),"－",ROUND((ROUND(H77/J77,2)+ROUND(H78/J78,2)+ROUND(H79/J79,2))/3,2)))</f>
        <v/>
      </c>
      <c r="U77" s="843"/>
      <c r="V77" s="842" t="str">
        <f>IF(B75="","",IF(OR(N77&lt;1,N78&lt;1,N79&lt;1),"－",ROUND((ROUND(L77/N77,2)+ROUND(L78/N78,2)+ROUND(L79/N79,2))/3,2)))</f>
        <v/>
      </c>
      <c r="W77" s="843"/>
      <c r="X77" s="825" t="str">
        <f>IF(B75="","",IF(OR(T77="－",V77="－"),"－",ROUND(T77/V77,2)))</f>
        <v/>
      </c>
      <c r="Y77" s="826"/>
      <c r="Z77" s="10"/>
    </row>
    <row r="78" spans="2:28" s="9" customFormat="1" ht="17.25" customHeight="1" x14ac:dyDescent="0.15">
      <c r="B78" s="564"/>
      <c r="C78" s="349"/>
      <c r="D78" s="565"/>
      <c r="E78" s="28"/>
      <c r="F78" s="972" t="str">
        <f>IF(AND($X$64="非該当",$B75&lt;&gt;""),DATE(YEAR($I$27)-3,MONTH($I$27),DAY($I$27)),"")</f>
        <v/>
      </c>
      <c r="G78" s="973"/>
      <c r="H78" s="318"/>
      <c r="I78" s="319"/>
      <c r="J78" s="318"/>
      <c r="K78" s="319"/>
      <c r="L78" s="318"/>
      <c r="M78" s="319"/>
      <c r="N78" s="318"/>
      <c r="O78" s="319"/>
      <c r="P78" s="86"/>
      <c r="Q78" s="87"/>
      <c r="R78" s="87"/>
      <c r="S78" s="87"/>
      <c r="T78" s="81"/>
      <c r="U78" s="81"/>
      <c r="V78" s="81"/>
      <c r="W78" s="81"/>
      <c r="X78" s="81"/>
      <c r="Y78" s="82"/>
      <c r="Z78" s="10"/>
    </row>
    <row r="79" spans="2:28" s="9" customFormat="1" ht="17.25" customHeight="1" x14ac:dyDescent="0.15">
      <c r="B79" s="566"/>
      <c r="C79" s="567"/>
      <c r="D79" s="568"/>
      <c r="E79" s="30"/>
      <c r="F79" s="972" t="str">
        <f>IF(AND($X$64="非該当",$B75&lt;&gt;""),DATE(YEAR($I$27)-4,MONTH($I$27),DAY($I$27)),"")</f>
        <v/>
      </c>
      <c r="G79" s="973"/>
      <c r="H79" s="579"/>
      <c r="I79" s="844"/>
      <c r="J79" s="579"/>
      <c r="K79" s="844"/>
      <c r="L79" s="579"/>
      <c r="M79" s="844"/>
      <c r="N79" s="579"/>
      <c r="O79" s="844"/>
      <c r="P79" s="88"/>
      <c r="Q79" s="89"/>
      <c r="R79" s="89"/>
      <c r="S79" s="89"/>
      <c r="T79" s="84"/>
      <c r="U79" s="84"/>
      <c r="V79" s="84"/>
      <c r="W79" s="84"/>
      <c r="X79" s="84"/>
      <c r="Y79" s="85"/>
      <c r="Z79" s="10"/>
    </row>
    <row r="80" spans="2:28" s="9" customFormat="1" ht="17.25" customHeight="1" x14ac:dyDescent="0.15">
      <c r="B80" s="553"/>
      <c r="C80" s="554"/>
      <c r="D80" s="555"/>
      <c r="E80" s="29" t="str">
        <f>IF(B80="","",B80&amp;F80)</f>
        <v/>
      </c>
      <c r="F80" s="972" t="str">
        <f>IF(AND($X$64="非該当",$B80&lt;&gt;""),DATE(YEAR($I$27),MONTH($I$27),DAY($I$27)),"")</f>
        <v/>
      </c>
      <c r="G80" s="973"/>
      <c r="H80" s="314" t="str">
        <f>IF($B80="","",VLOOKUP($E80,$E$55:$U$63,4,FALSE))</f>
        <v/>
      </c>
      <c r="I80" s="315"/>
      <c r="J80" s="314" t="str">
        <f>IF($B80="","",VLOOKUP($E80,$E$55:$U$63,6,FALSE))</f>
        <v/>
      </c>
      <c r="K80" s="315"/>
      <c r="L80" s="314" t="str">
        <f>IF($B80="","",VLOOKUP($E80,$E$55:$U$63,14,FALSE))</f>
        <v/>
      </c>
      <c r="M80" s="315"/>
      <c r="N80" s="314" t="str">
        <f>IF($B80="","",VLOOKUP($E80,$E$55:$U$63,16,FALSE))</f>
        <v/>
      </c>
      <c r="O80" s="315"/>
      <c r="P80" s="718" t="str">
        <f>IF(B80="","～",P$16&amp;"～"&amp;Q$18)</f>
        <v>～</v>
      </c>
      <c r="Q80" s="719"/>
      <c r="R80" s="719"/>
      <c r="S80" s="720"/>
      <c r="T80" s="842" t="str">
        <f>IF(B80="","",IF(OR(J80&lt;1,J81&lt;1,J82&lt;1),"－",ROUND((ROUND(H80/J80,2)+ROUND(H81/J81,2)+ROUND(H82/J82,2))/3,2)))</f>
        <v/>
      </c>
      <c r="U80" s="843"/>
      <c r="V80" s="842" t="str">
        <f>IF(B80="","",IF(OR(N80&lt;1,N81&lt;1,N82&lt;1),"－",ROUND((ROUND(L80/N80,2)+ROUND(L81/N81,2)+ROUND(L82/N82,2))/3,2)))</f>
        <v/>
      </c>
      <c r="W80" s="843"/>
      <c r="X80" s="825" t="str">
        <f>IF(B80="","",IF(OR(T80="－",V80="－"),"－",ROUND(T80/V80,2)))</f>
        <v/>
      </c>
      <c r="Y80" s="826"/>
      <c r="Z80" s="10"/>
    </row>
    <row r="81" spans="2:28" s="9" customFormat="1" ht="17.25" customHeight="1" x14ac:dyDescent="0.15">
      <c r="B81" s="564"/>
      <c r="C81" s="349"/>
      <c r="D81" s="565"/>
      <c r="E81" s="28" t="str">
        <f>IF(B80="","",B80&amp;F81)</f>
        <v/>
      </c>
      <c r="F81" s="972" t="str">
        <f>IF(AND($X$64="非該当",$B80&lt;&gt;""),DATE(YEAR($I$27)-1,MONTH($I$27),DAY($I$27)),"")</f>
        <v/>
      </c>
      <c r="G81" s="973"/>
      <c r="H81" s="314" t="str">
        <f>IF($B80="","",VLOOKUP($E81,$E$55:$U$63,4,FALSE))</f>
        <v/>
      </c>
      <c r="I81" s="315"/>
      <c r="J81" s="314" t="str">
        <f>IF($B80="","",VLOOKUP($E81,$E$55:$U$63,6,FALSE))</f>
        <v/>
      </c>
      <c r="K81" s="315"/>
      <c r="L81" s="314" t="str">
        <f>IF($B80="","",VLOOKUP($E81,$E$55:$U$63,14,FALSE))</f>
        <v/>
      </c>
      <c r="M81" s="315"/>
      <c r="N81" s="314" t="str">
        <f>IF($B80="","",VLOOKUP($E81,$E$55:$U$63,16,FALSE))</f>
        <v/>
      </c>
      <c r="O81" s="315"/>
      <c r="P81" s="718" t="str">
        <f>IF(B80="","～",P$17&amp;"～"&amp;Q$19)</f>
        <v>～</v>
      </c>
      <c r="Q81" s="719"/>
      <c r="R81" s="719"/>
      <c r="S81" s="720"/>
      <c r="T81" s="842" t="str">
        <f>IF(B80="","",IF(OR(J81&lt;1,J82&lt;1,J83&lt;1),"－",ROUND((ROUND(H81/J81,2)+ROUND(H82/J82,2)+ROUND(H83/J83,2))/3,2)))</f>
        <v/>
      </c>
      <c r="U81" s="843"/>
      <c r="V81" s="842" t="str">
        <f>IF(B80="","",IF(OR(N81&lt;1,N82&lt;1,N83&lt;1),"－",ROUND((ROUND(L81/N81,2)+ROUND(L82/N82,2)+ROUND(L83/N83,2))/3,2)))</f>
        <v/>
      </c>
      <c r="W81" s="843"/>
      <c r="X81" s="825" t="str">
        <f>IF(B80="","",IF(OR(T81="－",V81="－"),"－",ROUND(T81/V81,2)))</f>
        <v/>
      </c>
      <c r="Y81" s="826"/>
      <c r="Z81" s="10"/>
    </row>
    <row r="82" spans="2:28" s="9" customFormat="1" ht="17.25" customHeight="1" x14ac:dyDescent="0.15">
      <c r="B82" s="564"/>
      <c r="C82" s="349"/>
      <c r="D82" s="565"/>
      <c r="E82" s="28" t="str">
        <f>IF(B80="","",B80&amp;F82)</f>
        <v/>
      </c>
      <c r="F82" s="972" t="str">
        <f>IF(AND($X$64="非該当",$B80&lt;&gt;""),DATE(YEAR($I$27)-2,MONTH($I$27),DAY($I$27)),"")</f>
        <v/>
      </c>
      <c r="G82" s="973"/>
      <c r="H82" s="314" t="str">
        <f>IF($B80="","",VLOOKUP($E82,$E$55:$U$63,4,FALSE))</f>
        <v/>
      </c>
      <c r="I82" s="315"/>
      <c r="J82" s="314" t="str">
        <f>IF($B80="","",VLOOKUP($E82,$E$55:$U$63,6,FALSE))</f>
        <v/>
      </c>
      <c r="K82" s="315"/>
      <c r="L82" s="314" t="str">
        <f>IF($B80="","",VLOOKUP($E82,$E$55:$U$63,14,FALSE))</f>
        <v/>
      </c>
      <c r="M82" s="315"/>
      <c r="N82" s="314" t="str">
        <f>IF($B80="","",VLOOKUP($E82,$E$55:$U$63,16,FALSE))</f>
        <v/>
      </c>
      <c r="O82" s="315"/>
      <c r="P82" s="718" t="str">
        <f>IF(B80="","～",P$18&amp;"～"&amp;Q$20)</f>
        <v>～</v>
      </c>
      <c r="Q82" s="719"/>
      <c r="R82" s="719"/>
      <c r="S82" s="720"/>
      <c r="T82" s="842" t="str">
        <f>IF(B80="","",IF(OR(J82&lt;1,J83&lt;1,J84&lt;1),"－",ROUND((ROUND(H82/J82,2)+ROUND(H83/J83,2)+ROUND(H84/J84,2))/3,2)))</f>
        <v/>
      </c>
      <c r="U82" s="843"/>
      <c r="V82" s="842" t="str">
        <f>IF(B80="","",IF(OR(N82&lt;1,N83&lt;1,N84&lt;1),"－",ROUND((ROUND(L82/N82,2)+ROUND(L83/N83,2)+ROUND(L84/N84,2))/3,2)))</f>
        <v/>
      </c>
      <c r="W82" s="843"/>
      <c r="X82" s="825" t="str">
        <f>IF(B80="","",IF(OR(T82="－",V82="－"),"－",ROUND(T82/V82,2)))</f>
        <v/>
      </c>
      <c r="Y82" s="826"/>
      <c r="Z82" s="10"/>
    </row>
    <row r="83" spans="2:28" s="9" customFormat="1" ht="17.25" customHeight="1" x14ac:dyDescent="0.15">
      <c r="B83" s="564"/>
      <c r="C83" s="349"/>
      <c r="D83" s="565"/>
      <c r="E83" s="28"/>
      <c r="F83" s="972" t="str">
        <f>IF(AND($X$64="非該当",$B80&lt;&gt;""),DATE(YEAR($I$27)-3,MONTH($I$27),DAY($I$27)),"")</f>
        <v/>
      </c>
      <c r="G83" s="973"/>
      <c r="H83" s="318"/>
      <c r="I83" s="319"/>
      <c r="J83" s="318"/>
      <c r="K83" s="319"/>
      <c r="L83" s="318"/>
      <c r="M83" s="319"/>
      <c r="N83" s="318"/>
      <c r="O83" s="319"/>
      <c r="P83" s="80"/>
      <c r="Q83" s="81"/>
      <c r="R83" s="81"/>
      <c r="S83" s="81"/>
      <c r="T83" s="81"/>
      <c r="U83" s="81"/>
      <c r="V83" s="81"/>
      <c r="W83" s="81"/>
      <c r="X83" s="81"/>
      <c r="Y83" s="82"/>
      <c r="Z83" s="10"/>
    </row>
    <row r="84" spans="2:28" s="9" customFormat="1" ht="17.25" customHeight="1" x14ac:dyDescent="0.15">
      <c r="B84" s="566"/>
      <c r="C84" s="567"/>
      <c r="D84" s="568"/>
      <c r="E84" s="30"/>
      <c r="F84" s="972" t="str">
        <f>IF(AND($X$64="非該当",$B80&lt;&gt;""),DATE(YEAR($I$27)-4,MONTH($I$27),DAY($I$27)),"")</f>
        <v/>
      </c>
      <c r="G84" s="973"/>
      <c r="H84" s="318"/>
      <c r="I84" s="319"/>
      <c r="J84" s="318"/>
      <c r="K84" s="319"/>
      <c r="L84" s="318"/>
      <c r="M84" s="319"/>
      <c r="N84" s="318"/>
      <c r="O84" s="319"/>
      <c r="P84" s="83"/>
      <c r="Q84" s="84"/>
      <c r="R84" s="84"/>
      <c r="S84" s="84"/>
      <c r="T84" s="84"/>
      <c r="U84" s="84"/>
      <c r="V84" s="84"/>
      <c r="W84" s="84"/>
      <c r="X84" s="84"/>
      <c r="Y84" s="85"/>
      <c r="Z84" s="10"/>
    </row>
    <row r="85" spans="2:28" ht="17.25" customHeight="1" x14ac:dyDescent="0.15">
      <c r="Z85" s="10"/>
    </row>
    <row r="86" spans="2:28" ht="17.25" customHeight="1" x14ac:dyDescent="0.15">
      <c r="B86" s="1" t="s">
        <v>155</v>
      </c>
      <c r="AA86" s="169" t="str">
        <f>IF(G$23="","",G$23)</f>
        <v/>
      </c>
    </row>
    <row r="87" spans="2:28" ht="17.25" customHeight="1" x14ac:dyDescent="0.15"/>
    <row r="88" spans="2:28" ht="17.25" customHeight="1" x14ac:dyDescent="0.15">
      <c r="B88" s="18" t="s">
        <v>129</v>
      </c>
    </row>
    <row r="89" spans="2:28" ht="17.25" customHeight="1" thickBot="1" x14ac:dyDescent="0.2">
      <c r="B89" s="1" t="s">
        <v>51</v>
      </c>
    </row>
    <row r="90" spans="2:28" s="9" customFormat="1" ht="47.25" customHeight="1" thickTop="1" x14ac:dyDescent="0.15">
      <c r="B90" s="822"/>
      <c r="C90" s="823"/>
      <c r="D90" s="824"/>
      <c r="E90" s="93"/>
      <c r="F90" s="409" t="s">
        <v>5</v>
      </c>
      <c r="G90" s="367"/>
      <c r="H90" s="368"/>
      <c r="I90" s="409" t="s">
        <v>8</v>
      </c>
      <c r="J90" s="410"/>
      <c r="K90" s="411"/>
      <c r="L90" s="409" t="s">
        <v>9</v>
      </c>
      <c r="M90" s="367"/>
      <c r="N90" s="368"/>
      <c r="O90" s="366" t="s">
        <v>11</v>
      </c>
      <c r="P90" s="367"/>
      <c r="Q90" s="367"/>
      <c r="R90" s="478" t="s">
        <v>10</v>
      </c>
      <c r="S90" s="479"/>
      <c r="T90" s="480"/>
      <c r="U90" s="478" t="s">
        <v>234</v>
      </c>
      <c r="V90" s="479"/>
      <c r="W90" s="479"/>
      <c r="X90" s="479"/>
      <c r="Y90" s="480"/>
      <c r="Z90" s="831" t="s">
        <v>50</v>
      </c>
      <c r="AA90" s="832"/>
    </row>
    <row r="91" spans="2:28" s="9" customFormat="1" ht="17.25" customHeight="1" x14ac:dyDescent="0.15">
      <c r="B91" s="833"/>
      <c r="C91" s="834"/>
      <c r="D91" s="835"/>
      <c r="E91" s="93"/>
      <c r="F91" s="974" t="str">
        <f>IF($I$27="","",$I$27)</f>
        <v/>
      </c>
      <c r="G91" s="975"/>
      <c r="H91" s="976"/>
      <c r="I91" s="808"/>
      <c r="J91" s="809"/>
      <c r="K91" s="810"/>
      <c r="L91" s="808"/>
      <c r="M91" s="809"/>
      <c r="N91" s="810"/>
      <c r="O91" s="811" t="str">
        <f>IF(F91="","",I91+L91)</f>
        <v/>
      </c>
      <c r="P91" s="812"/>
      <c r="Q91" s="812"/>
      <c r="R91" s="503" t="str">
        <f>IF(F91="","",ROUND(I91/O91,3))</f>
        <v/>
      </c>
      <c r="S91" s="504"/>
      <c r="T91" s="505"/>
      <c r="U91" s="839" t="str">
        <f>IF(R25="","",R25)</f>
        <v/>
      </c>
      <c r="V91" s="840"/>
      <c r="W91" s="840"/>
      <c r="X91" s="840"/>
      <c r="Y91" s="841"/>
      <c r="Z91" s="827"/>
      <c r="AA91" s="828"/>
    </row>
    <row r="92" spans="2:28" s="9" customFormat="1" ht="17.25" customHeight="1" thickBot="1" x14ac:dyDescent="0.2">
      <c r="B92" s="836"/>
      <c r="C92" s="837"/>
      <c r="D92" s="838"/>
      <c r="E92" s="93"/>
      <c r="F92" s="977"/>
      <c r="G92" s="978"/>
      <c r="H92" s="979"/>
      <c r="I92" s="805"/>
      <c r="J92" s="806"/>
      <c r="K92" s="807"/>
      <c r="L92" s="805"/>
      <c r="M92" s="806"/>
      <c r="N92" s="807"/>
      <c r="O92" s="813"/>
      <c r="P92" s="814"/>
      <c r="Q92" s="814"/>
      <c r="R92" s="506"/>
      <c r="S92" s="507"/>
      <c r="T92" s="508"/>
      <c r="U92" s="796"/>
      <c r="V92" s="797"/>
      <c r="W92" s="797"/>
      <c r="X92" s="797"/>
      <c r="Y92" s="798"/>
      <c r="Z92" s="829"/>
      <c r="AA92" s="830"/>
    </row>
    <row r="93" spans="2:28" ht="17.25" customHeight="1" thickTop="1" x14ac:dyDescent="0.15">
      <c r="V93" s="10" t="str">
        <f>IF(G23="","",IF(U92="","上段に産業分類、下段に産業平均値（%）を記載↑ ",""))</f>
        <v/>
      </c>
      <c r="Y93" s="41"/>
      <c r="AA93" s="35" t="str">
        <f>IF(G23="","",IF(Z91="","リストから選択↑　",""))</f>
        <v/>
      </c>
    </row>
    <row r="94" spans="2:28" ht="17.25" customHeight="1" x14ac:dyDescent="0.15">
      <c r="B94" s="9" t="s">
        <v>208</v>
      </c>
      <c r="U94" s="10"/>
      <c r="V94" s="10"/>
      <c r="W94" s="10"/>
      <c r="X94" s="10"/>
      <c r="Y94" s="10"/>
      <c r="Z94" s="10"/>
      <c r="AA94" s="10"/>
      <c r="AB94" s="10"/>
    </row>
    <row r="95" spans="2:28" s="9" customFormat="1" ht="47.25" customHeight="1" x14ac:dyDescent="0.15">
      <c r="B95" s="822"/>
      <c r="C95" s="823"/>
      <c r="D95" s="824"/>
      <c r="E95" s="93"/>
      <c r="F95" s="409" t="s">
        <v>153</v>
      </c>
      <c r="G95" s="367"/>
      <c r="H95" s="368"/>
      <c r="I95" s="409" t="s">
        <v>8</v>
      </c>
      <c r="J95" s="410"/>
      <c r="K95" s="411"/>
      <c r="L95" s="409" t="s">
        <v>9</v>
      </c>
      <c r="M95" s="367"/>
      <c r="N95" s="368"/>
      <c r="O95" s="366" t="s">
        <v>11</v>
      </c>
      <c r="P95" s="367"/>
      <c r="Q95" s="367"/>
      <c r="R95" s="409" t="s">
        <v>10</v>
      </c>
      <c r="S95" s="367"/>
      <c r="T95" s="368"/>
      <c r="U95" s="52"/>
      <c r="V95" s="44"/>
      <c r="W95" s="44"/>
      <c r="X95" s="44"/>
      <c r="Y95" s="44"/>
      <c r="Z95" s="44"/>
      <c r="AA95" s="49"/>
      <c r="AB95" s="10"/>
    </row>
    <row r="96" spans="2:28" s="9" customFormat="1" ht="17.25" customHeight="1" x14ac:dyDescent="0.15">
      <c r="B96" s="822"/>
      <c r="C96" s="823"/>
      <c r="D96" s="824"/>
      <c r="E96" s="93"/>
      <c r="F96" s="980" t="str">
        <f>IF(OR($Z$91="非該当",$Z$91="算出不能"),DATE(YEAR($I$27)-1,MONTH($I$27),DAY($I$27)),"")</f>
        <v/>
      </c>
      <c r="G96" s="981"/>
      <c r="H96" s="982"/>
      <c r="I96" s="784"/>
      <c r="J96" s="785"/>
      <c r="K96" s="786"/>
      <c r="L96" s="784"/>
      <c r="M96" s="785"/>
      <c r="N96" s="786"/>
      <c r="O96" s="787" t="str">
        <f>IF(F96="","",I96+L96)</f>
        <v/>
      </c>
      <c r="P96" s="788"/>
      <c r="Q96" s="789"/>
      <c r="R96" s="460" t="str">
        <f>IF(F96="","",ROUND(I96/O96,3))</f>
        <v/>
      </c>
      <c r="S96" s="461"/>
      <c r="T96" s="462"/>
      <c r="U96" s="366" t="s">
        <v>187</v>
      </c>
      <c r="V96" s="367"/>
      <c r="W96" s="367"/>
      <c r="X96" s="367"/>
      <c r="Y96" s="367"/>
      <c r="Z96" s="367"/>
      <c r="AA96" s="368"/>
      <c r="AB96" s="10"/>
    </row>
    <row r="97" spans="2:28" s="9" customFormat="1" ht="17.25" customHeight="1" x14ac:dyDescent="0.15">
      <c r="B97" s="822"/>
      <c r="C97" s="823"/>
      <c r="D97" s="824"/>
      <c r="E97" s="93"/>
      <c r="F97" s="980" t="str">
        <f>IF(OR($Z$91="非該当",$Z$91="算出不能"),DATE(YEAR($I$27)-2,MONTH($I$27),DAY($I$27)),"")</f>
        <v/>
      </c>
      <c r="G97" s="981"/>
      <c r="H97" s="982"/>
      <c r="I97" s="784"/>
      <c r="J97" s="785"/>
      <c r="K97" s="786"/>
      <c r="L97" s="784"/>
      <c r="M97" s="785"/>
      <c r="N97" s="786"/>
      <c r="O97" s="787" t="str">
        <f>IF(F97="","",I97+L97)</f>
        <v/>
      </c>
      <c r="P97" s="788"/>
      <c r="Q97" s="789"/>
      <c r="R97" s="460" t="str">
        <f>IF(F97="","",ROUND(I97/O97,3))</f>
        <v/>
      </c>
      <c r="S97" s="461"/>
      <c r="T97" s="462"/>
      <c r="U97" s="718" t="str">
        <f>IF(F97="","～",P16&amp;"～"&amp;Q18)</f>
        <v>～</v>
      </c>
      <c r="V97" s="719"/>
      <c r="W97" s="719"/>
      <c r="X97" s="720"/>
      <c r="Y97" s="781" t="str">
        <f>IF(F97="","",ROUND(AVERAGE(R91,R96,R97),3))</f>
        <v/>
      </c>
      <c r="Z97" s="782"/>
      <c r="AA97" s="783"/>
      <c r="AB97" s="10"/>
    </row>
    <row r="98" spans="2:28" s="9" customFormat="1" ht="17.25" customHeight="1" x14ac:dyDescent="0.15">
      <c r="B98" s="822"/>
      <c r="C98" s="823"/>
      <c r="D98" s="824"/>
      <c r="E98" s="93"/>
      <c r="F98" s="980" t="str">
        <f>IF(OR($Z$91="非該当",$Z$91="算出不能"),DATE(YEAR($I$27)-3,MONTH($I$27),DAY($I$27)),"")</f>
        <v/>
      </c>
      <c r="G98" s="981"/>
      <c r="H98" s="982"/>
      <c r="I98" s="784"/>
      <c r="J98" s="785"/>
      <c r="K98" s="786"/>
      <c r="L98" s="784"/>
      <c r="M98" s="785"/>
      <c r="N98" s="786"/>
      <c r="O98" s="787" t="str">
        <f>IF(F98="","",I98+L98)</f>
        <v/>
      </c>
      <c r="P98" s="788"/>
      <c r="Q98" s="789"/>
      <c r="R98" s="460" t="str">
        <f>IF(F98="","",ROUND(I98/O98,3))</f>
        <v/>
      </c>
      <c r="S98" s="461"/>
      <c r="T98" s="462"/>
      <c r="U98" s="718" t="str">
        <f>IF(F98="","～",P17&amp;"～"&amp;Q19)</f>
        <v>～</v>
      </c>
      <c r="V98" s="719"/>
      <c r="W98" s="719"/>
      <c r="X98" s="720"/>
      <c r="Y98" s="781" t="str">
        <f>IF(F98="","",ROUND(AVERAGE(R96,R97,R98),3))</f>
        <v/>
      </c>
      <c r="Z98" s="782"/>
      <c r="AA98" s="783"/>
      <c r="AB98" s="10"/>
    </row>
    <row r="99" spans="2:28" s="9" customFormat="1" ht="17.25" customHeight="1" x14ac:dyDescent="0.15">
      <c r="B99" s="822"/>
      <c r="C99" s="823"/>
      <c r="D99" s="824"/>
      <c r="E99" s="93"/>
      <c r="F99" s="980" t="str">
        <f>IF(OR($Z$91="非該当",$Z$91="算出不能"),DATE(YEAR($I$27)-4,MONTH($I$27),DAY($I$27)),"")</f>
        <v/>
      </c>
      <c r="G99" s="981"/>
      <c r="H99" s="982"/>
      <c r="I99" s="784"/>
      <c r="J99" s="785"/>
      <c r="K99" s="786"/>
      <c r="L99" s="784"/>
      <c r="M99" s="785"/>
      <c r="N99" s="786"/>
      <c r="O99" s="787" t="str">
        <f>IF(F99="","",I99+L99)</f>
        <v/>
      </c>
      <c r="P99" s="788"/>
      <c r="Q99" s="789"/>
      <c r="R99" s="460" t="str">
        <f>IF(F99="","",ROUND(I99/O99,3))</f>
        <v/>
      </c>
      <c r="S99" s="461"/>
      <c r="T99" s="462"/>
      <c r="U99" s="718" t="str">
        <f>IF(F99="","～",P18&amp;"～"&amp;Q20)</f>
        <v>～</v>
      </c>
      <c r="V99" s="719"/>
      <c r="W99" s="719"/>
      <c r="X99" s="720"/>
      <c r="Y99" s="781" t="str">
        <f>IF(F99="","",ROUND(AVERAGE(R97,R98,R99),3))</f>
        <v/>
      </c>
      <c r="Z99" s="782"/>
      <c r="AA99" s="783"/>
      <c r="AB99" s="10"/>
    </row>
    <row r="100" spans="2:28" ht="17.25" customHeight="1" x14ac:dyDescent="0.15">
      <c r="B100" s="43"/>
      <c r="C100" s="43"/>
      <c r="D100" s="43"/>
      <c r="U100" s="10"/>
      <c r="V100" s="10"/>
      <c r="W100" s="10"/>
      <c r="X100" s="10"/>
      <c r="Y100" s="10"/>
      <c r="Z100" s="10"/>
      <c r="AA100" s="10"/>
      <c r="AB100" s="10"/>
    </row>
    <row r="101" spans="2:28" ht="17.25" customHeight="1" x14ac:dyDescent="0.15">
      <c r="U101" s="10"/>
      <c r="V101" s="10"/>
      <c r="W101" s="10"/>
      <c r="X101" s="10"/>
      <c r="Y101" s="10"/>
      <c r="Z101" s="10"/>
      <c r="AA101" s="10"/>
      <c r="AB101" s="10"/>
    </row>
    <row r="102" spans="2:28" ht="17.25" customHeight="1" x14ac:dyDescent="0.15">
      <c r="B102" s="1" t="s">
        <v>52</v>
      </c>
      <c r="U102" s="10"/>
      <c r="V102" s="10"/>
      <c r="W102" s="10"/>
      <c r="X102" s="10"/>
      <c r="Y102" s="10"/>
    </row>
    <row r="103" spans="2:28" ht="17.25" customHeight="1" thickBot="1" x14ac:dyDescent="0.2">
      <c r="C103" s="9" t="s">
        <v>66</v>
      </c>
      <c r="E103" s="1"/>
    </row>
    <row r="104" spans="2:28" s="9" customFormat="1" ht="47.25" customHeight="1" thickTop="1" x14ac:dyDescent="0.15">
      <c r="B104" s="409" t="s">
        <v>12</v>
      </c>
      <c r="C104" s="410"/>
      <c r="D104" s="411"/>
      <c r="E104" s="99"/>
      <c r="F104" s="409" t="s">
        <v>5</v>
      </c>
      <c r="G104" s="367"/>
      <c r="H104" s="368"/>
      <c r="I104" s="409" t="s">
        <v>47</v>
      </c>
      <c r="J104" s="410"/>
      <c r="K104" s="411"/>
      <c r="L104" s="409" t="s">
        <v>49</v>
      </c>
      <c r="M104" s="367"/>
      <c r="N104" s="368"/>
      <c r="O104" s="409" t="s">
        <v>48</v>
      </c>
      <c r="P104" s="367"/>
      <c r="Q104" s="367"/>
      <c r="R104" s="478" t="s">
        <v>10</v>
      </c>
      <c r="S104" s="479"/>
      <c r="T104" s="480"/>
      <c r="U104" s="478" t="s">
        <v>235</v>
      </c>
      <c r="V104" s="479"/>
      <c r="W104" s="479"/>
      <c r="X104" s="479"/>
      <c r="Y104" s="480"/>
      <c r="Z104" s="478" t="s">
        <v>50</v>
      </c>
      <c r="AA104" s="480"/>
    </row>
    <row r="105" spans="2:28" s="9" customFormat="1" ht="17.25" customHeight="1" x14ac:dyDescent="0.15">
      <c r="B105" s="615"/>
      <c r="C105" s="616"/>
      <c r="D105" s="617"/>
      <c r="E105" s="23"/>
      <c r="F105" s="983" t="str">
        <f>IF(I30&lt;&gt;"設定あり","",$I$27)</f>
        <v/>
      </c>
      <c r="G105" s="984"/>
      <c r="H105" s="985"/>
      <c r="I105" s="802"/>
      <c r="J105" s="803"/>
      <c r="K105" s="804"/>
      <c r="L105" s="808"/>
      <c r="M105" s="809"/>
      <c r="N105" s="810"/>
      <c r="O105" s="811" t="str">
        <f>IF(F105="","",I105+L105)</f>
        <v/>
      </c>
      <c r="P105" s="812"/>
      <c r="Q105" s="812"/>
      <c r="R105" s="503" t="str">
        <f>IF(F105="","",ROUND(I105/O105,3))</f>
        <v/>
      </c>
      <c r="S105" s="504"/>
      <c r="T105" s="505"/>
      <c r="U105" s="815" t="str">
        <f>IF(F105="","",R25)</f>
        <v/>
      </c>
      <c r="V105" s="816"/>
      <c r="W105" s="816"/>
      <c r="X105" s="816"/>
      <c r="Y105" s="817"/>
      <c r="Z105" s="818"/>
      <c r="AA105" s="819"/>
    </row>
    <row r="106" spans="2:28" s="9" customFormat="1" ht="17.25" customHeight="1" thickBot="1" x14ac:dyDescent="0.2">
      <c r="B106" s="618"/>
      <c r="C106" s="619"/>
      <c r="D106" s="620"/>
      <c r="E106" s="23"/>
      <c r="F106" s="977"/>
      <c r="G106" s="978"/>
      <c r="H106" s="979"/>
      <c r="I106" s="805"/>
      <c r="J106" s="806"/>
      <c r="K106" s="807"/>
      <c r="L106" s="805"/>
      <c r="M106" s="806"/>
      <c r="N106" s="807"/>
      <c r="O106" s="813"/>
      <c r="P106" s="814"/>
      <c r="Q106" s="814"/>
      <c r="R106" s="506"/>
      <c r="S106" s="507"/>
      <c r="T106" s="508"/>
      <c r="U106" s="796"/>
      <c r="V106" s="797"/>
      <c r="W106" s="797"/>
      <c r="X106" s="797"/>
      <c r="Y106" s="798"/>
      <c r="Z106" s="820"/>
      <c r="AA106" s="821"/>
    </row>
    <row r="107" spans="2:28" ht="17.25" customHeight="1" thickTop="1" x14ac:dyDescent="0.15">
      <c r="V107" s="10" t="str">
        <f>IF(B105="","",IF(U106="","上段に産業分類、下段に産業平均値を記載↑ ",""))</f>
        <v/>
      </c>
      <c r="Y107" s="41"/>
      <c r="AA107" s="35" t="str">
        <f>IF(B105="","",IF(Z105="","リストから選択↑　",""))</f>
        <v/>
      </c>
    </row>
    <row r="108" spans="2:28" ht="17.25" customHeight="1" x14ac:dyDescent="0.15">
      <c r="B108" s="9" t="s">
        <v>209</v>
      </c>
      <c r="U108" s="10"/>
      <c r="V108" s="10"/>
      <c r="W108" s="10"/>
      <c r="X108" s="10"/>
      <c r="Y108" s="10"/>
      <c r="Z108" s="10"/>
      <c r="AA108" s="10"/>
      <c r="AB108" s="10"/>
    </row>
    <row r="109" spans="2:28" s="9" customFormat="1" ht="47.25" customHeight="1" x14ac:dyDescent="0.15">
      <c r="B109" s="409" t="s">
        <v>12</v>
      </c>
      <c r="C109" s="410"/>
      <c r="D109" s="411"/>
      <c r="E109" s="22"/>
      <c r="F109" s="409" t="s">
        <v>163</v>
      </c>
      <c r="G109" s="367"/>
      <c r="H109" s="368"/>
      <c r="I109" s="409" t="s">
        <v>47</v>
      </c>
      <c r="J109" s="410"/>
      <c r="K109" s="411"/>
      <c r="L109" s="409" t="s">
        <v>49</v>
      </c>
      <c r="M109" s="367"/>
      <c r="N109" s="368"/>
      <c r="O109" s="409" t="s">
        <v>48</v>
      </c>
      <c r="P109" s="367"/>
      <c r="Q109" s="367"/>
      <c r="R109" s="409" t="s">
        <v>10</v>
      </c>
      <c r="S109" s="367"/>
      <c r="T109" s="368"/>
      <c r="U109" s="52"/>
      <c r="V109" s="44"/>
      <c r="W109" s="44"/>
      <c r="X109" s="44"/>
      <c r="Y109" s="44"/>
      <c r="Z109" s="44"/>
      <c r="AA109" s="49"/>
      <c r="AB109" s="10"/>
    </row>
    <row r="110" spans="2:28" s="9" customFormat="1" ht="17.25" customHeight="1" x14ac:dyDescent="0.15">
      <c r="B110" s="513" t="str">
        <f>IF(F110="","",B105)</f>
        <v/>
      </c>
      <c r="C110" s="514"/>
      <c r="D110" s="515"/>
      <c r="E110" s="24"/>
      <c r="F110" s="980" t="str">
        <f>IF(AND(F$105&lt;&gt;"",OR($Z$105="非該当",$Z$105="算出不能")),DATE(YEAR($I$27)-1,MONTH($I$27),DAY($I$27)),"")</f>
        <v/>
      </c>
      <c r="G110" s="981"/>
      <c r="H110" s="982"/>
      <c r="I110" s="784"/>
      <c r="J110" s="785"/>
      <c r="K110" s="786"/>
      <c r="L110" s="784"/>
      <c r="M110" s="785"/>
      <c r="N110" s="786"/>
      <c r="O110" s="787" t="str">
        <f>IF(F110="","",I110+L110)</f>
        <v/>
      </c>
      <c r="P110" s="788"/>
      <c r="Q110" s="789"/>
      <c r="R110" s="460" t="str">
        <f>IF(F110="","",ROUND(I110/O110,3))</f>
        <v/>
      </c>
      <c r="S110" s="461"/>
      <c r="T110" s="462"/>
      <c r="U110" s="366" t="s">
        <v>187</v>
      </c>
      <c r="V110" s="367"/>
      <c r="W110" s="367"/>
      <c r="X110" s="367"/>
      <c r="Y110" s="367"/>
      <c r="Z110" s="367"/>
      <c r="AA110" s="368"/>
      <c r="AB110" s="10"/>
    </row>
    <row r="111" spans="2:28" s="9" customFormat="1" ht="17.25" customHeight="1" x14ac:dyDescent="0.15">
      <c r="B111" s="790"/>
      <c r="C111" s="791"/>
      <c r="D111" s="792"/>
      <c r="E111" s="24"/>
      <c r="F111" s="980" t="str">
        <f>IF(AND(F$105&lt;&gt;"",OR($Z$105="非該当",$Z$105="算出不能")),DATE(YEAR($I$27)-2,MONTH($I$27),DAY($I$27)),"")</f>
        <v/>
      </c>
      <c r="G111" s="981"/>
      <c r="H111" s="982"/>
      <c r="I111" s="784"/>
      <c r="J111" s="785"/>
      <c r="K111" s="786"/>
      <c r="L111" s="784"/>
      <c r="M111" s="785"/>
      <c r="N111" s="786"/>
      <c r="O111" s="787" t="str">
        <f>IF(F111="","",I111+L111)</f>
        <v/>
      </c>
      <c r="P111" s="788"/>
      <c r="Q111" s="789"/>
      <c r="R111" s="460" t="str">
        <f>IF(F111="","",ROUND(I111/O111,3))</f>
        <v/>
      </c>
      <c r="S111" s="461"/>
      <c r="T111" s="462"/>
      <c r="U111" s="718" t="str">
        <f>IF(F111="","～",P16&amp;"～"&amp;Q18)</f>
        <v>～</v>
      </c>
      <c r="V111" s="719"/>
      <c r="W111" s="719"/>
      <c r="X111" s="720"/>
      <c r="Y111" s="781" t="str">
        <f>IF(F111="","",ROUND(AVERAGE(R105,R110,R111),3))</f>
        <v/>
      </c>
      <c r="Z111" s="782"/>
      <c r="AA111" s="783"/>
      <c r="AB111" s="10"/>
    </row>
    <row r="112" spans="2:28" s="9" customFormat="1" ht="17.25" customHeight="1" x14ac:dyDescent="0.15">
      <c r="B112" s="790"/>
      <c r="C112" s="791"/>
      <c r="D112" s="792"/>
      <c r="E112" s="24"/>
      <c r="F112" s="980" t="str">
        <f>IF(AND(F$105&lt;&gt;"",OR($Z$105="非該当",$Z$105="算出不能")),DATE(YEAR($I$27)-3,MONTH($I$27),DAY($I$27)),"")</f>
        <v/>
      </c>
      <c r="G112" s="981"/>
      <c r="H112" s="982"/>
      <c r="I112" s="784"/>
      <c r="J112" s="785"/>
      <c r="K112" s="786"/>
      <c r="L112" s="784"/>
      <c r="M112" s="785"/>
      <c r="N112" s="786"/>
      <c r="O112" s="787" t="str">
        <f>IF(F112="","",I112+L112)</f>
        <v/>
      </c>
      <c r="P112" s="788"/>
      <c r="Q112" s="789"/>
      <c r="R112" s="460" t="str">
        <f>IF(F112="","",ROUND(I112/O112,3))</f>
        <v/>
      </c>
      <c r="S112" s="461"/>
      <c r="T112" s="462"/>
      <c r="U112" s="718" t="str">
        <f>IF(F112="","～",P17&amp;"～"&amp;Q19)</f>
        <v>～</v>
      </c>
      <c r="V112" s="719"/>
      <c r="W112" s="719"/>
      <c r="X112" s="720"/>
      <c r="Y112" s="781" t="str">
        <f>IF(F112="","",ROUND(AVERAGE(R110,R111,R112),3))</f>
        <v/>
      </c>
      <c r="Z112" s="782"/>
      <c r="AA112" s="783"/>
      <c r="AB112" s="10"/>
    </row>
    <row r="113" spans="1:28" s="9" customFormat="1" ht="17.25" customHeight="1" x14ac:dyDescent="0.15">
      <c r="B113" s="793"/>
      <c r="C113" s="794"/>
      <c r="D113" s="795"/>
      <c r="E113" s="24"/>
      <c r="F113" s="980" t="str">
        <f>IF(AND(F$105&lt;&gt;"",OR($Z$105="非該当",$Z$105="算出不能")),DATE(YEAR($I$27)-4,MONTH($I$27),DAY($I$27)),"")</f>
        <v/>
      </c>
      <c r="G113" s="981"/>
      <c r="H113" s="982"/>
      <c r="I113" s="784"/>
      <c r="J113" s="785"/>
      <c r="K113" s="786"/>
      <c r="L113" s="784"/>
      <c r="M113" s="785"/>
      <c r="N113" s="786"/>
      <c r="O113" s="787" t="str">
        <f>IF(F113="","",I113+L113)</f>
        <v/>
      </c>
      <c r="P113" s="788"/>
      <c r="Q113" s="789"/>
      <c r="R113" s="460" t="str">
        <f>IF(F113="","",ROUND(I113/O113,3))</f>
        <v/>
      </c>
      <c r="S113" s="461"/>
      <c r="T113" s="462"/>
      <c r="U113" s="718" t="str">
        <f>IF(F113="","～",P18&amp;"～"&amp;Q20)</f>
        <v>～</v>
      </c>
      <c r="V113" s="719"/>
      <c r="W113" s="719"/>
      <c r="X113" s="720"/>
      <c r="Y113" s="781" t="str">
        <f>IF(F113="","",ROUND(AVERAGE(R111,R112,R113),3))</f>
        <v/>
      </c>
      <c r="Z113" s="782"/>
      <c r="AA113" s="783"/>
      <c r="AB113" s="10"/>
    </row>
    <row r="114" spans="1:28" ht="17.25" customHeight="1" x14ac:dyDescent="0.15">
      <c r="A114" s="43"/>
      <c r="B114" s="43"/>
      <c r="C114" s="43"/>
      <c r="D114" s="43"/>
      <c r="F114" s="43"/>
      <c r="H114" s="8"/>
    </row>
    <row r="115" spans="1:28" ht="30.75" customHeight="1" x14ac:dyDescent="0.15">
      <c r="B115" s="2" t="s">
        <v>156</v>
      </c>
      <c r="H115" s="2"/>
      <c r="AA115" s="169" t="str">
        <f>IF(G$23="","",G$23)</f>
        <v/>
      </c>
    </row>
    <row r="116" spans="1:28" s="3" customFormat="1" ht="17.25" customHeight="1" x14ac:dyDescent="0.15">
      <c r="B116" s="372" t="s">
        <v>148</v>
      </c>
      <c r="C116" s="373"/>
      <c r="D116" s="373"/>
      <c r="E116" s="373"/>
      <c r="F116" s="373"/>
      <c r="G116" s="373"/>
      <c r="H116" s="373"/>
      <c r="I116" s="373"/>
      <c r="J116" s="373"/>
      <c r="K116" s="373"/>
      <c r="L116" s="373"/>
      <c r="M116" s="373"/>
      <c r="N116" s="373"/>
      <c r="O116" s="373"/>
      <c r="P116" s="373"/>
      <c r="Q116" s="373"/>
      <c r="R116" s="373"/>
      <c r="S116" s="373"/>
      <c r="T116" s="373"/>
      <c r="U116" s="373"/>
      <c r="V116" s="373"/>
      <c r="W116" s="373"/>
      <c r="X116" s="373"/>
      <c r="Y116" s="373"/>
      <c r="Z116" s="373"/>
      <c r="AA116" s="374"/>
    </row>
    <row r="117" spans="1:28" s="13" customFormat="1" ht="17.25" customHeight="1" x14ac:dyDescent="0.15">
      <c r="B117" s="357" t="s">
        <v>126</v>
      </c>
      <c r="C117" s="358"/>
      <c r="D117" s="358"/>
      <c r="E117" s="358"/>
      <c r="F117" s="358"/>
      <c r="G117" s="358"/>
      <c r="H117" s="358"/>
      <c r="I117" s="358"/>
      <c r="J117" s="358"/>
      <c r="K117" s="358"/>
      <c r="L117" s="358"/>
      <c r="M117" s="358"/>
      <c r="N117" s="358"/>
      <c r="O117" s="358"/>
      <c r="P117" s="358"/>
      <c r="Q117" s="358"/>
      <c r="R117" s="358"/>
      <c r="S117" s="358"/>
      <c r="T117" s="358"/>
      <c r="U117" s="358"/>
      <c r="V117" s="358"/>
      <c r="W117" s="358"/>
      <c r="X117" s="358"/>
      <c r="Y117" s="358"/>
      <c r="Z117" s="358"/>
      <c r="AA117" s="359"/>
    </row>
    <row r="118" spans="1:28" s="13" customFormat="1" ht="27" customHeight="1" x14ac:dyDescent="0.15">
      <c r="B118" s="357" t="s">
        <v>87</v>
      </c>
      <c r="C118" s="509"/>
      <c r="D118" s="509"/>
      <c r="E118" s="509"/>
      <c r="F118" s="509"/>
      <c r="G118" s="509"/>
      <c r="H118" s="509"/>
      <c r="I118" s="509"/>
      <c r="J118" s="509"/>
      <c r="K118" s="509"/>
      <c r="L118" s="509"/>
      <c r="M118" s="509"/>
      <c r="N118" s="509"/>
      <c r="O118" s="509"/>
      <c r="P118" s="509"/>
      <c r="Q118" s="509"/>
      <c r="R118" s="509"/>
      <c r="S118" s="509"/>
      <c r="T118" s="509"/>
      <c r="U118" s="509"/>
      <c r="V118" s="509"/>
      <c r="W118" s="509"/>
      <c r="X118" s="509"/>
      <c r="Y118" s="509"/>
      <c r="Z118" s="509"/>
      <c r="AA118" s="510"/>
    </row>
    <row r="119" spans="1:28" s="13" customFormat="1" ht="37.5" customHeight="1" x14ac:dyDescent="0.15">
      <c r="B119" s="357" t="s">
        <v>89</v>
      </c>
      <c r="C119" s="509"/>
      <c r="D119" s="509"/>
      <c r="E119" s="509"/>
      <c r="F119" s="509"/>
      <c r="G119" s="509"/>
      <c r="H119" s="509"/>
      <c r="I119" s="509"/>
      <c r="J119" s="509"/>
      <c r="K119" s="509"/>
      <c r="L119" s="509"/>
      <c r="M119" s="509"/>
      <c r="N119" s="509"/>
      <c r="O119" s="509"/>
      <c r="P119" s="509"/>
      <c r="Q119" s="509"/>
      <c r="R119" s="509"/>
      <c r="S119" s="509"/>
      <c r="T119" s="509"/>
      <c r="U119" s="509"/>
      <c r="V119" s="509"/>
      <c r="W119" s="509"/>
      <c r="X119" s="509"/>
      <c r="Y119" s="509"/>
      <c r="Z119" s="509"/>
      <c r="AA119" s="510"/>
      <c r="AB119" s="13" t="s">
        <v>88</v>
      </c>
    </row>
    <row r="120" spans="1:28" s="13" customFormat="1" ht="27" customHeight="1" x14ac:dyDescent="0.15">
      <c r="B120" s="360" t="s">
        <v>127</v>
      </c>
      <c r="C120" s="361"/>
      <c r="D120" s="361"/>
      <c r="E120" s="361"/>
      <c r="F120" s="361"/>
      <c r="G120" s="361"/>
      <c r="H120" s="361"/>
      <c r="I120" s="361"/>
      <c r="J120" s="361"/>
      <c r="K120" s="361"/>
      <c r="L120" s="361"/>
      <c r="M120" s="361"/>
      <c r="N120" s="361"/>
      <c r="O120" s="361"/>
      <c r="P120" s="361"/>
      <c r="Q120" s="361"/>
      <c r="R120" s="361"/>
      <c r="S120" s="361"/>
      <c r="T120" s="361"/>
      <c r="U120" s="361"/>
      <c r="V120" s="361"/>
      <c r="W120" s="361"/>
      <c r="X120" s="361"/>
      <c r="Y120" s="361"/>
      <c r="Z120" s="361"/>
      <c r="AA120" s="362"/>
    </row>
    <row r="121" spans="1:28" ht="17.25" customHeight="1" x14ac:dyDescent="0.15">
      <c r="H121" s="8"/>
    </row>
    <row r="122" spans="1:28" ht="17.25" customHeight="1" x14ac:dyDescent="0.15">
      <c r="B122" s="18" t="s">
        <v>130</v>
      </c>
    </row>
    <row r="123" spans="1:28" ht="17.25" customHeight="1" x14ac:dyDescent="0.15">
      <c r="B123" s="1" t="s">
        <v>53</v>
      </c>
    </row>
    <row r="124" spans="1:28" ht="16.5" customHeight="1" thickBot="1" x14ac:dyDescent="0.2">
      <c r="C124" s="562" t="s">
        <v>242</v>
      </c>
      <c r="D124" s="563"/>
      <c r="E124" s="563"/>
      <c r="F124" s="563"/>
      <c r="G124" s="563"/>
      <c r="H124" s="563"/>
      <c r="I124" s="563"/>
      <c r="J124" s="563"/>
      <c r="K124" s="563"/>
      <c r="L124" s="563"/>
      <c r="M124" s="563"/>
      <c r="N124" s="563"/>
      <c r="O124" s="563"/>
      <c r="P124" s="563"/>
      <c r="Q124" s="563"/>
      <c r="R124" s="563"/>
      <c r="S124" s="563"/>
      <c r="T124" s="563"/>
      <c r="U124" s="563"/>
      <c r="V124" s="563"/>
      <c r="W124" s="563"/>
      <c r="X124" s="563"/>
      <c r="Y124" s="563"/>
      <c r="Z124" s="563"/>
      <c r="AA124" s="563"/>
    </row>
    <row r="125" spans="1:28" s="9" customFormat="1" ht="47.25" customHeight="1" thickTop="1" x14ac:dyDescent="0.15">
      <c r="B125" s="409" t="s">
        <v>5</v>
      </c>
      <c r="C125" s="410"/>
      <c r="D125" s="411"/>
      <c r="E125" s="53"/>
      <c r="F125" s="366" t="s">
        <v>0</v>
      </c>
      <c r="G125" s="367"/>
      <c r="H125" s="368"/>
      <c r="I125" s="409" t="s">
        <v>165</v>
      </c>
      <c r="J125" s="410"/>
      <c r="K125" s="410"/>
      <c r="L125" s="411"/>
      <c r="M125" s="409" t="s">
        <v>166</v>
      </c>
      <c r="N125" s="410"/>
      <c r="O125" s="410"/>
      <c r="P125" s="410"/>
      <c r="Q125" s="409" t="s">
        <v>176</v>
      </c>
      <c r="R125" s="410"/>
      <c r="S125" s="410"/>
      <c r="T125" s="410"/>
      <c r="U125" s="478" t="s">
        <v>210</v>
      </c>
      <c r="V125" s="779"/>
      <c r="W125" s="779"/>
      <c r="X125" s="780"/>
      <c r="Y125" s="15"/>
      <c r="Z125" s="15"/>
      <c r="AA125" s="15"/>
    </row>
    <row r="126" spans="1:28" s="9" customFormat="1" ht="17.25" customHeight="1" x14ac:dyDescent="0.15">
      <c r="B126" s="986" t="str">
        <f>IF($I$27="","",$I$27)</f>
        <v/>
      </c>
      <c r="C126" s="987"/>
      <c r="D126" s="988"/>
      <c r="E126" s="54"/>
      <c r="F126" s="773"/>
      <c r="G126" s="774"/>
      <c r="H126" s="775"/>
      <c r="I126" s="776"/>
      <c r="J126" s="777"/>
      <c r="K126" s="777"/>
      <c r="L126" s="778"/>
      <c r="M126" s="776"/>
      <c r="N126" s="777"/>
      <c r="O126" s="777"/>
      <c r="P126" s="777"/>
      <c r="Q126" s="282" t="str">
        <f>IF(F126="","",IF(M126&lt;=0,"－",ROUND(I126/M126,2)))</f>
        <v/>
      </c>
      <c r="R126" s="283"/>
      <c r="S126" s="283"/>
      <c r="T126" s="283"/>
      <c r="U126" s="753" t="str">
        <f>IF(F126="","",IF(M126&lt;=0,"算出不能",IF(AND(I126&gt;0,M126&gt;0,Q126&gt;=0.7),"Ｃ≧0.7",IF(AND(I126&gt;0,M126&gt;0,Q126&lt;0.7),"Ｃ＜0.7"))))</f>
        <v/>
      </c>
      <c r="V126" s="754"/>
      <c r="W126" s="754"/>
      <c r="X126" s="755"/>
      <c r="Y126" s="15"/>
      <c r="Z126" s="15"/>
    </row>
    <row r="127" spans="1:28" s="9" customFormat="1" ht="17.25" customHeight="1" x14ac:dyDescent="0.15">
      <c r="B127" s="989"/>
      <c r="C127" s="990"/>
      <c r="D127" s="991"/>
      <c r="E127" s="55"/>
      <c r="F127" s="773"/>
      <c r="G127" s="774"/>
      <c r="H127" s="775"/>
      <c r="I127" s="776"/>
      <c r="J127" s="777"/>
      <c r="K127" s="777"/>
      <c r="L127" s="778"/>
      <c r="M127" s="776"/>
      <c r="N127" s="777"/>
      <c r="O127" s="777"/>
      <c r="P127" s="777"/>
      <c r="Q127" s="282" t="str">
        <f t="shared" ref="Q127:Q128" si="3">IF(F127="","",IF(M127&lt;=0,"－",ROUND(I127/M127,2)))</f>
        <v/>
      </c>
      <c r="R127" s="283"/>
      <c r="S127" s="283"/>
      <c r="T127" s="283"/>
      <c r="U127" s="753" t="str">
        <f t="shared" ref="U127:U128" si="4">IF(F127="","",IF(M127&lt;=0,"算出不能",IF(AND(I127&gt;0,M127&gt;0,Q127&gt;=0.7),"Ｃ≧0.7",IF(AND(I127&gt;0,M127&gt;0,Q127&lt;0.7),"Ｃ＜0.7"))))</f>
        <v/>
      </c>
      <c r="V127" s="754"/>
      <c r="W127" s="754"/>
      <c r="X127" s="755"/>
      <c r="Y127" s="15"/>
      <c r="Z127" s="15"/>
      <c r="AA127" s="36"/>
    </row>
    <row r="128" spans="1:28" s="9" customFormat="1" ht="17.25" customHeight="1" thickBot="1" x14ac:dyDescent="0.2">
      <c r="B128" s="992"/>
      <c r="C128" s="993"/>
      <c r="D128" s="994"/>
      <c r="E128" s="56"/>
      <c r="F128" s="612"/>
      <c r="G128" s="613"/>
      <c r="H128" s="614"/>
      <c r="I128" s="756"/>
      <c r="J128" s="757"/>
      <c r="K128" s="757"/>
      <c r="L128" s="758"/>
      <c r="M128" s="756"/>
      <c r="N128" s="757"/>
      <c r="O128" s="757"/>
      <c r="P128" s="757"/>
      <c r="Q128" s="759" t="str">
        <f t="shared" si="3"/>
        <v/>
      </c>
      <c r="R128" s="760"/>
      <c r="S128" s="760"/>
      <c r="T128" s="760"/>
      <c r="U128" s="761" t="str">
        <f t="shared" si="4"/>
        <v/>
      </c>
      <c r="V128" s="762"/>
      <c r="W128" s="762"/>
      <c r="X128" s="763"/>
      <c r="Y128" s="15"/>
      <c r="Z128" s="15"/>
      <c r="AA128" s="36"/>
    </row>
    <row r="129" spans="2:27" ht="27.75" customHeight="1" thickTop="1" thickBot="1" x14ac:dyDescent="0.2">
      <c r="C129" s="66"/>
      <c r="D129" s="66"/>
      <c r="E129" s="66"/>
      <c r="F129" s="688" t="s">
        <v>195</v>
      </c>
      <c r="G129" s="689"/>
      <c r="H129" s="689"/>
      <c r="I129" s="689"/>
      <c r="J129" s="689"/>
      <c r="K129" s="689"/>
      <c r="L129" s="689"/>
      <c r="M129" s="689"/>
      <c r="N129" s="689"/>
      <c r="O129" s="689"/>
      <c r="P129" s="689"/>
      <c r="Q129" s="689"/>
      <c r="R129" s="689"/>
      <c r="S129" s="689"/>
      <c r="T129" s="689"/>
      <c r="U129" s="751"/>
      <c r="V129" s="751"/>
      <c r="W129" s="751"/>
      <c r="X129" s="752"/>
      <c r="Y129" s="15"/>
      <c r="AA129" s="49"/>
    </row>
    <row r="130" spans="2:27" ht="17.25" customHeight="1" thickTop="1" x14ac:dyDescent="0.15">
      <c r="B130" s="15"/>
      <c r="C130" s="15"/>
      <c r="D130" s="15"/>
      <c r="F130" s="15"/>
      <c r="W130" s="15"/>
      <c r="X130" s="35" t="str">
        <f>IF(G23="","",IF(U129="","リストから選択↑　",""))</f>
        <v/>
      </c>
      <c r="Y130" s="15"/>
      <c r="AA130" s="49"/>
    </row>
    <row r="131" spans="2:27" ht="16.5" customHeight="1" x14ac:dyDescent="0.15">
      <c r="B131" s="63" t="s">
        <v>211</v>
      </c>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row>
    <row r="132" spans="2:27" ht="27.75" customHeight="1" x14ac:dyDescent="0.15">
      <c r="C132" s="562" t="s">
        <v>243</v>
      </c>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row>
    <row r="133" spans="2:27" s="9" customFormat="1" ht="47.25" customHeight="1" x14ac:dyDescent="0.15">
      <c r="B133" s="409" t="s">
        <v>164</v>
      </c>
      <c r="C133" s="410"/>
      <c r="D133" s="411"/>
      <c r="E133" s="53"/>
      <c r="F133" s="366" t="s">
        <v>0</v>
      </c>
      <c r="G133" s="367"/>
      <c r="H133" s="368"/>
      <c r="I133" s="409" t="s">
        <v>165</v>
      </c>
      <c r="J133" s="410"/>
      <c r="K133" s="410"/>
      <c r="L133" s="411"/>
      <c r="M133" s="409" t="s">
        <v>166</v>
      </c>
      <c r="N133" s="410"/>
      <c r="O133" s="410"/>
      <c r="P133" s="410"/>
      <c r="Q133" s="637" t="s">
        <v>176</v>
      </c>
      <c r="R133" s="638"/>
      <c r="S133" s="638"/>
      <c r="T133" s="729"/>
      <c r="U133" s="1"/>
      <c r="V133" s="1"/>
      <c r="W133" s="1"/>
      <c r="X133" s="1"/>
      <c r="Y133" s="1"/>
      <c r="Z133" s="1"/>
      <c r="AA133" s="49"/>
    </row>
    <row r="134" spans="2:27" s="9" customFormat="1" ht="17.25" customHeight="1" x14ac:dyDescent="0.15">
      <c r="B134" s="995" t="str">
        <f>IF($U$129="非該当",DATE(YEAR($I$27)-1,MONTH($I$27),DAY($I$27)),"")</f>
        <v/>
      </c>
      <c r="C134" s="996"/>
      <c r="D134" s="997"/>
      <c r="E134" s="57"/>
      <c r="F134" s="735" t="str">
        <f>IF(B134="","",IF(F126="","",F126))</f>
        <v/>
      </c>
      <c r="G134" s="736"/>
      <c r="H134" s="737"/>
      <c r="I134" s="738"/>
      <c r="J134" s="739"/>
      <c r="K134" s="739"/>
      <c r="L134" s="740"/>
      <c r="M134" s="738"/>
      <c r="N134" s="739"/>
      <c r="O134" s="739"/>
      <c r="P134" s="739"/>
      <c r="Q134" s="282" t="str">
        <f>IF(F134="","",IF(OR(M134="",M134=0),"－",ROUND(I134/M134,2)))</f>
        <v/>
      </c>
      <c r="R134" s="283"/>
      <c r="S134" s="283"/>
      <c r="T134" s="741"/>
      <c r="AA134" s="49"/>
    </row>
    <row r="135" spans="2:27" s="9" customFormat="1" ht="17.25" customHeight="1" x14ac:dyDescent="0.15">
      <c r="B135" s="998"/>
      <c r="C135" s="999"/>
      <c r="D135" s="1000"/>
      <c r="E135" s="58"/>
      <c r="F135" s="735" t="str">
        <f>IF(B134="","",IF(F127="","",F127))</f>
        <v/>
      </c>
      <c r="G135" s="736"/>
      <c r="H135" s="737"/>
      <c r="I135" s="738"/>
      <c r="J135" s="739"/>
      <c r="K135" s="739"/>
      <c r="L135" s="740"/>
      <c r="M135" s="738"/>
      <c r="N135" s="739"/>
      <c r="O135" s="739"/>
      <c r="P135" s="739"/>
      <c r="Q135" s="282" t="str">
        <f t="shared" ref="Q135:Q145" si="5">IF(F135="","",IF(OR(M135="",M135=0),"－",ROUND(I135/M135,2)))</f>
        <v/>
      </c>
      <c r="R135" s="283"/>
      <c r="S135" s="283"/>
      <c r="T135" s="741"/>
      <c r="U135" s="1"/>
      <c r="V135" s="1"/>
      <c r="W135" s="1"/>
      <c r="X135" s="1"/>
      <c r="Y135" s="1"/>
      <c r="Z135" s="1"/>
      <c r="AA135" s="49"/>
    </row>
    <row r="136" spans="2:27" s="9" customFormat="1" ht="17.25" customHeight="1" x14ac:dyDescent="0.15">
      <c r="B136" s="1001"/>
      <c r="C136" s="1002"/>
      <c r="D136" s="1003"/>
      <c r="E136" s="59"/>
      <c r="F136" s="735" t="str">
        <f>IF(B134="","",IF(F128="","",F128))</f>
        <v/>
      </c>
      <c r="G136" s="736"/>
      <c r="H136" s="737"/>
      <c r="I136" s="738"/>
      <c r="J136" s="739"/>
      <c r="K136" s="739"/>
      <c r="L136" s="740"/>
      <c r="M136" s="738"/>
      <c r="N136" s="739"/>
      <c r="O136" s="739"/>
      <c r="P136" s="739"/>
      <c r="Q136" s="282" t="str">
        <f t="shared" si="5"/>
        <v/>
      </c>
      <c r="R136" s="283"/>
      <c r="S136" s="283"/>
      <c r="T136" s="741"/>
      <c r="U136" s="366" t="s">
        <v>168</v>
      </c>
      <c r="V136" s="367"/>
      <c r="W136" s="367"/>
      <c r="X136" s="367"/>
      <c r="Y136" s="367"/>
      <c r="Z136" s="367"/>
      <c r="AA136" s="368"/>
    </row>
    <row r="137" spans="2:27" s="9" customFormat="1" ht="17.25" customHeight="1" x14ac:dyDescent="0.15">
      <c r="B137" s="995" t="str">
        <f>IF($U$129="非該当",DATE(YEAR($I$27)-2,MONTH($I$27),DAY($I$27)),"")</f>
        <v/>
      </c>
      <c r="C137" s="996"/>
      <c r="D137" s="997"/>
      <c r="E137" s="57"/>
      <c r="F137" s="735" t="str">
        <f>IF(B137="","",IF(F126="","",F126))</f>
        <v/>
      </c>
      <c r="G137" s="736"/>
      <c r="H137" s="737"/>
      <c r="I137" s="738"/>
      <c r="J137" s="739"/>
      <c r="K137" s="739"/>
      <c r="L137" s="740"/>
      <c r="M137" s="738"/>
      <c r="N137" s="739"/>
      <c r="O137" s="739"/>
      <c r="P137" s="739"/>
      <c r="Q137" s="282" t="str">
        <f t="shared" si="5"/>
        <v/>
      </c>
      <c r="R137" s="283"/>
      <c r="S137" s="283"/>
      <c r="T137" s="741"/>
      <c r="U137" s="543" t="str">
        <f>IF(B137="","",Q16)</f>
        <v/>
      </c>
      <c r="V137" s="544"/>
      <c r="W137" s="523" t="str">
        <f t="shared" ref="W137:W145" si="6">IF(F137="","",F137)</f>
        <v/>
      </c>
      <c r="X137" s="524"/>
      <c r="Y137" s="525"/>
      <c r="Z137" s="730" t="str">
        <f>IF(W137="","",ROUND(SUMIF(F$126:H$139,W137,Q$126:T$139)/3,2))</f>
        <v/>
      </c>
      <c r="AA137" s="731"/>
    </row>
    <row r="138" spans="2:27" s="9" customFormat="1" ht="17.25" customHeight="1" x14ac:dyDescent="0.15">
      <c r="B138" s="998"/>
      <c r="C138" s="999"/>
      <c r="D138" s="1000"/>
      <c r="E138" s="58"/>
      <c r="F138" s="735" t="str">
        <f>IF(B137="","",IF(F127="","",F127))</f>
        <v/>
      </c>
      <c r="G138" s="736"/>
      <c r="H138" s="737"/>
      <c r="I138" s="738"/>
      <c r="J138" s="739"/>
      <c r="K138" s="739"/>
      <c r="L138" s="740"/>
      <c r="M138" s="738"/>
      <c r="N138" s="739"/>
      <c r="O138" s="739"/>
      <c r="P138" s="739"/>
      <c r="Q138" s="282" t="str">
        <f t="shared" si="5"/>
        <v/>
      </c>
      <c r="R138" s="283"/>
      <c r="S138" s="283"/>
      <c r="T138" s="741"/>
      <c r="U138" s="529" t="s">
        <v>77</v>
      </c>
      <c r="V138" s="530"/>
      <c r="W138" s="523" t="str">
        <f t="shared" si="6"/>
        <v/>
      </c>
      <c r="X138" s="524"/>
      <c r="Y138" s="525"/>
      <c r="Z138" s="730" t="str">
        <f>IF(W138="","",ROUND(SUMIF(F$126:H$139,W138,Q$126:T$139)/3,2))</f>
        <v/>
      </c>
      <c r="AA138" s="731"/>
    </row>
    <row r="139" spans="2:27" s="9" customFormat="1" ht="17.25" customHeight="1" x14ac:dyDescent="0.15">
      <c r="B139" s="1001"/>
      <c r="C139" s="1002"/>
      <c r="D139" s="1003"/>
      <c r="E139" s="59"/>
      <c r="F139" s="735" t="str">
        <f>IF(B137="","",IF(F128="","",F128))</f>
        <v/>
      </c>
      <c r="G139" s="736"/>
      <c r="H139" s="737"/>
      <c r="I139" s="738"/>
      <c r="J139" s="739"/>
      <c r="K139" s="739"/>
      <c r="L139" s="740"/>
      <c r="M139" s="738"/>
      <c r="N139" s="739"/>
      <c r="O139" s="739"/>
      <c r="P139" s="739"/>
      <c r="Q139" s="282" t="str">
        <f t="shared" si="5"/>
        <v/>
      </c>
      <c r="R139" s="283"/>
      <c r="S139" s="283"/>
      <c r="T139" s="741"/>
      <c r="U139" s="521" t="str">
        <f>IF(B137="","",Q18)</f>
        <v/>
      </c>
      <c r="V139" s="522"/>
      <c r="W139" s="523" t="str">
        <f t="shared" si="6"/>
        <v/>
      </c>
      <c r="X139" s="524"/>
      <c r="Y139" s="525"/>
      <c r="Z139" s="730" t="str">
        <f>IF(W139="","",ROUND(SUMIF(F$126:H$139,W139,Q$126:T$139)/3,2))</f>
        <v/>
      </c>
      <c r="AA139" s="731"/>
    </row>
    <row r="140" spans="2:27" s="9" customFormat="1" ht="17.25" customHeight="1" x14ac:dyDescent="0.15">
      <c r="B140" s="995" t="str">
        <f>IF($U$129="非該当",DATE(YEAR($I$27)-3,MONTH($I$27),DAY($I$27)),"")</f>
        <v/>
      </c>
      <c r="C140" s="996"/>
      <c r="D140" s="997"/>
      <c r="E140" s="57"/>
      <c r="F140" s="735" t="str">
        <f>IF(B140="","",IF(F126="","",F126))</f>
        <v/>
      </c>
      <c r="G140" s="736"/>
      <c r="H140" s="737"/>
      <c r="I140" s="738"/>
      <c r="J140" s="739"/>
      <c r="K140" s="739"/>
      <c r="L140" s="740"/>
      <c r="M140" s="738"/>
      <c r="N140" s="739"/>
      <c r="O140" s="739"/>
      <c r="P140" s="739"/>
      <c r="Q140" s="282" t="str">
        <f t="shared" si="5"/>
        <v/>
      </c>
      <c r="R140" s="283"/>
      <c r="S140" s="283"/>
      <c r="T140" s="741"/>
      <c r="U140" s="543" t="str">
        <f>IF(B140="","",Q17)</f>
        <v/>
      </c>
      <c r="V140" s="544"/>
      <c r="W140" s="523" t="str">
        <f t="shared" si="6"/>
        <v/>
      </c>
      <c r="X140" s="524"/>
      <c r="Y140" s="525"/>
      <c r="Z140" s="730" t="str">
        <f>IF(W140="","",ROUND(SUMIF(F$134:H$142,W140,Q$134:T$142)/3,2))</f>
        <v/>
      </c>
      <c r="AA140" s="731"/>
    </row>
    <row r="141" spans="2:27" s="9" customFormat="1" ht="17.25" customHeight="1" x14ac:dyDescent="0.15">
      <c r="B141" s="998"/>
      <c r="C141" s="999"/>
      <c r="D141" s="1000"/>
      <c r="E141" s="58"/>
      <c r="F141" s="735" t="str">
        <f>IF(B140="","",IF(F127="","",F127))</f>
        <v/>
      </c>
      <c r="G141" s="736"/>
      <c r="H141" s="737"/>
      <c r="I141" s="738"/>
      <c r="J141" s="739"/>
      <c r="K141" s="739"/>
      <c r="L141" s="740"/>
      <c r="M141" s="738"/>
      <c r="N141" s="739"/>
      <c r="O141" s="739"/>
      <c r="P141" s="739"/>
      <c r="Q141" s="282" t="str">
        <f t="shared" si="5"/>
        <v/>
      </c>
      <c r="R141" s="283"/>
      <c r="S141" s="283"/>
      <c r="T141" s="741"/>
      <c r="U141" s="529" t="s">
        <v>77</v>
      </c>
      <c r="V141" s="530"/>
      <c r="W141" s="523" t="str">
        <f t="shared" si="6"/>
        <v/>
      </c>
      <c r="X141" s="524"/>
      <c r="Y141" s="525"/>
      <c r="Z141" s="730" t="str">
        <f>IF(W141="","",ROUND(SUMIF(F$134:H$142,W141,Q$134:T$142)/3,2))</f>
        <v/>
      </c>
      <c r="AA141" s="731"/>
    </row>
    <row r="142" spans="2:27" s="9" customFormat="1" ht="17.25" customHeight="1" x14ac:dyDescent="0.15">
      <c r="B142" s="1001"/>
      <c r="C142" s="1002"/>
      <c r="D142" s="1003"/>
      <c r="E142" s="59"/>
      <c r="F142" s="735" t="str">
        <f>IF(B140="","",IF(F128="","",F128))</f>
        <v/>
      </c>
      <c r="G142" s="736"/>
      <c r="H142" s="737"/>
      <c r="I142" s="738"/>
      <c r="J142" s="739"/>
      <c r="K142" s="739"/>
      <c r="L142" s="740"/>
      <c r="M142" s="738"/>
      <c r="N142" s="739"/>
      <c r="O142" s="739"/>
      <c r="P142" s="739"/>
      <c r="Q142" s="282" t="str">
        <f t="shared" si="5"/>
        <v/>
      </c>
      <c r="R142" s="283"/>
      <c r="S142" s="283"/>
      <c r="T142" s="741"/>
      <c r="U142" s="521" t="str">
        <f>IF(B140="","",Q19)</f>
        <v/>
      </c>
      <c r="V142" s="522"/>
      <c r="W142" s="523" t="str">
        <f t="shared" si="6"/>
        <v/>
      </c>
      <c r="X142" s="524"/>
      <c r="Y142" s="525"/>
      <c r="Z142" s="730" t="str">
        <f>IF(W142="","",ROUND(SUMIF(F$134:H$142,W142,Q$134:T$142)/3,2))</f>
        <v/>
      </c>
      <c r="AA142" s="731"/>
    </row>
    <row r="143" spans="2:27" s="9" customFormat="1" ht="17.25" customHeight="1" x14ac:dyDescent="0.15">
      <c r="B143" s="995" t="str">
        <f>IF($U$129="非該当",DATE(YEAR($I$27)-4,MONTH($I$27),DAY($I$27)),"")</f>
        <v/>
      </c>
      <c r="C143" s="996"/>
      <c r="D143" s="997"/>
      <c r="E143" s="57"/>
      <c r="F143" s="735" t="str">
        <f>IF(B143="","",IF(F126="","",F126))</f>
        <v/>
      </c>
      <c r="G143" s="736"/>
      <c r="H143" s="737"/>
      <c r="I143" s="738"/>
      <c r="J143" s="739"/>
      <c r="K143" s="739"/>
      <c r="L143" s="740"/>
      <c r="M143" s="738"/>
      <c r="N143" s="739"/>
      <c r="O143" s="739"/>
      <c r="P143" s="739"/>
      <c r="Q143" s="282" t="str">
        <f t="shared" si="5"/>
        <v/>
      </c>
      <c r="R143" s="283"/>
      <c r="S143" s="283"/>
      <c r="T143" s="741"/>
      <c r="U143" s="543" t="str">
        <f>IF(B143="","",Q18)</f>
        <v/>
      </c>
      <c r="V143" s="544"/>
      <c r="W143" s="523" t="str">
        <f t="shared" si="6"/>
        <v/>
      </c>
      <c r="X143" s="524"/>
      <c r="Y143" s="525"/>
      <c r="Z143" s="730" t="str">
        <f>IF(W143="","",ROUND(SUMIF(F$137:H$145,W143,Q$137:T$145)/3,2))</f>
        <v/>
      </c>
      <c r="AA143" s="731"/>
    </row>
    <row r="144" spans="2:27" s="9" customFormat="1" ht="17.25" customHeight="1" x14ac:dyDescent="0.15">
      <c r="B144" s="998"/>
      <c r="C144" s="999"/>
      <c r="D144" s="1000"/>
      <c r="E144" s="58"/>
      <c r="F144" s="735" t="str">
        <f>IF(B143="","",IF(F127="","",F127))</f>
        <v/>
      </c>
      <c r="G144" s="736"/>
      <c r="H144" s="737"/>
      <c r="I144" s="738"/>
      <c r="J144" s="739"/>
      <c r="K144" s="739"/>
      <c r="L144" s="740"/>
      <c r="M144" s="738"/>
      <c r="N144" s="739"/>
      <c r="O144" s="739"/>
      <c r="P144" s="739"/>
      <c r="Q144" s="282" t="str">
        <f t="shared" si="5"/>
        <v/>
      </c>
      <c r="R144" s="283"/>
      <c r="S144" s="283"/>
      <c r="T144" s="741"/>
      <c r="U144" s="529" t="s">
        <v>77</v>
      </c>
      <c r="V144" s="530"/>
      <c r="W144" s="523" t="str">
        <f t="shared" si="6"/>
        <v/>
      </c>
      <c r="X144" s="524"/>
      <c r="Y144" s="525"/>
      <c r="Z144" s="730" t="str">
        <f>IF(W144="","",ROUND(SUMIF(F$137:H$145,W144,Q$137:T$145)/3,2))</f>
        <v/>
      </c>
      <c r="AA144" s="731"/>
    </row>
    <row r="145" spans="1:28" s="9" customFormat="1" ht="17.25" customHeight="1" x14ac:dyDescent="0.15">
      <c r="B145" s="1001"/>
      <c r="C145" s="1002"/>
      <c r="D145" s="1003"/>
      <c r="E145" s="59"/>
      <c r="F145" s="735" t="str">
        <f>IF(B143="","",IF(F128="","",F128))</f>
        <v/>
      </c>
      <c r="G145" s="736"/>
      <c r="H145" s="737"/>
      <c r="I145" s="738"/>
      <c r="J145" s="739"/>
      <c r="K145" s="739"/>
      <c r="L145" s="740"/>
      <c r="M145" s="738"/>
      <c r="N145" s="739"/>
      <c r="O145" s="739"/>
      <c r="P145" s="739"/>
      <c r="Q145" s="282" t="str">
        <f t="shared" si="5"/>
        <v/>
      </c>
      <c r="R145" s="283"/>
      <c r="S145" s="283"/>
      <c r="T145" s="741"/>
      <c r="U145" s="521" t="str">
        <f>IF(B143="","",Q20)</f>
        <v/>
      </c>
      <c r="V145" s="522"/>
      <c r="W145" s="523" t="str">
        <f t="shared" si="6"/>
        <v/>
      </c>
      <c r="X145" s="524"/>
      <c r="Y145" s="525"/>
      <c r="Z145" s="730" t="str">
        <f>IF(W145="","",ROUND(SUMIF(F$137:H$145,W145,Q$137:T$145)/3,2))</f>
        <v/>
      </c>
      <c r="AA145" s="731"/>
    </row>
    <row r="146" spans="1:28" ht="17.25" customHeight="1" x14ac:dyDescent="0.15">
      <c r="A146" s="43"/>
      <c r="B146" s="60"/>
      <c r="C146" s="60"/>
      <c r="D146" s="60"/>
      <c r="F146" s="20"/>
      <c r="G146" s="43"/>
    </row>
    <row r="147" spans="1:28" ht="17.25" customHeight="1" x14ac:dyDescent="0.15">
      <c r="B147" s="1" t="s">
        <v>222</v>
      </c>
      <c r="AA147" s="169" t="str">
        <f>IF(G$23="","",G$23)</f>
        <v/>
      </c>
    </row>
    <row r="148" spans="1:28" ht="17.25" customHeight="1" x14ac:dyDescent="0.15">
      <c r="A148" s="43"/>
      <c r="B148" s="43"/>
      <c r="C148" s="43"/>
      <c r="D148" s="43"/>
      <c r="F148" s="43"/>
      <c r="G148" s="43"/>
    </row>
    <row r="149" spans="1:28" ht="17.25" customHeight="1" x14ac:dyDescent="0.15">
      <c r="B149" s="1" t="s">
        <v>220</v>
      </c>
    </row>
    <row r="150" spans="1:28" ht="16.5" customHeight="1" x14ac:dyDescent="0.15">
      <c r="C150" s="562" t="s">
        <v>240</v>
      </c>
      <c r="D150" s="563"/>
      <c r="E150" s="563"/>
      <c r="F150" s="563"/>
      <c r="G150" s="563"/>
      <c r="H150" s="563"/>
      <c r="I150" s="563"/>
      <c r="J150" s="563"/>
      <c r="K150" s="563"/>
      <c r="L150" s="563"/>
      <c r="M150" s="563"/>
      <c r="N150" s="563"/>
      <c r="O150" s="563"/>
      <c r="P150" s="563"/>
      <c r="Q150" s="563"/>
      <c r="R150" s="563"/>
      <c r="S150" s="563"/>
      <c r="T150" s="563"/>
      <c r="U150" s="563"/>
      <c r="V150" s="563"/>
      <c r="W150" s="563"/>
      <c r="X150" s="563"/>
      <c r="Y150" s="563"/>
      <c r="Z150" s="563"/>
      <c r="AA150" s="563"/>
    </row>
    <row r="151" spans="1:28" ht="17.25" customHeight="1" thickBot="1" x14ac:dyDescent="0.2">
      <c r="I151" s="449" t="s">
        <v>40</v>
      </c>
      <c r="J151" s="450"/>
      <c r="K151" s="450"/>
      <c r="L151" s="450"/>
      <c r="M151" s="450"/>
      <c r="N151" s="450"/>
      <c r="O151" s="451"/>
      <c r="P151" s="449" t="s">
        <v>41</v>
      </c>
      <c r="Q151" s="450"/>
      <c r="R151" s="450"/>
      <c r="S151" s="450"/>
      <c r="T151" s="450"/>
      <c r="U151" s="450"/>
      <c r="V151" s="451"/>
      <c r="W151" s="43"/>
      <c r="X151" s="43"/>
      <c r="Y151" s="43"/>
      <c r="Z151" s="43"/>
      <c r="AA151" s="43"/>
      <c r="AB151" s="43"/>
    </row>
    <row r="152" spans="1:28" s="9" customFormat="1" ht="47.25" customHeight="1" thickTop="1" x14ac:dyDescent="0.15">
      <c r="B152" s="732" t="s">
        <v>0</v>
      </c>
      <c r="C152" s="733"/>
      <c r="D152" s="734"/>
      <c r="E152" s="93"/>
      <c r="F152" s="637" t="s">
        <v>71</v>
      </c>
      <c r="G152" s="733"/>
      <c r="H152" s="734"/>
      <c r="I152" s="637" t="s">
        <v>221</v>
      </c>
      <c r="J152" s="733"/>
      <c r="K152" s="637" t="str">
        <f>IF(F154="","うち直近事業年度で雇用されている者","うち"&amp;P16&amp;"事業年度で雇用されている者")</f>
        <v>うち直近事業年度で雇用されている者</v>
      </c>
      <c r="L152" s="638"/>
      <c r="M152" s="729"/>
      <c r="N152" s="637" t="s">
        <v>183</v>
      </c>
      <c r="O152" s="729"/>
      <c r="P152" s="637" t="s">
        <v>221</v>
      </c>
      <c r="Q152" s="733"/>
      <c r="R152" s="637" t="str">
        <f>IF(F154="","うち直近事業年度で雇用されている者","うち"&amp;P16&amp;"事業年度で雇用されている者")</f>
        <v>うち直近事業年度で雇用されている者</v>
      </c>
      <c r="S152" s="638"/>
      <c r="T152" s="729"/>
      <c r="U152" s="637" t="s">
        <v>184</v>
      </c>
      <c r="V152" s="638"/>
      <c r="W152" s="409" t="s">
        <v>14</v>
      </c>
      <c r="X152" s="367"/>
      <c r="Y152" s="367"/>
      <c r="Z152" s="478" t="s">
        <v>179</v>
      </c>
      <c r="AA152" s="480"/>
    </row>
    <row r="153" spans="1:28" s="9" customFormat="1" ht="17.25" customHeight="1" x14ac:dyDescent="0.15">
      <c r="B153" s="612"/>
      <c r="C153" s="613"/>
      <c r="D153" s="614"/>
      <c r="E153" s="28" t="str">
        <f>IF(B153="","",B153&amp;F153)</f>
        <v/>
      </c>
      <c r="F153" s="974" t="str">
        <f>IF($B153="","",DATE(YEAR($I$27)-9,MONTH($I$27),DAY($I$27)))</f>
        <v/>
      </c>
      <c r="G153" s="975"/>
      <c r="H153" s="976"/>
      <c r="I153" s="463"/>
      <c r="J153" s="464"/>
      <c r="K153" s="463"/>
      <c r="L153" s="593"/>
      <c r="M153" s="464"/>
      <c r="N153" s="707" t="str">
        <f>IF(B153="","",IF(I156&lt;=0,"－",ROUND(K156/I156,3)))</f>
        <v/>
      </c>
      <c r="O153" s="708"/>
      <c r="P153" s="463"/>
      <c r="Q153" s="464"/>
      <c r="R153" s="463"/>
      <c r="S153" s="593"/>
      <c r="T153" s="464"/>
      <c r="U153" s="707" t="str">
        <f>IF(B153="","",IF(P156&lt;=0,"－",ROUND(R156/P156,3)))</f>
        <v/>
      </c>
      <c r="V153" s="711"/>
      <c r="W153" s="714" t="s">
        <v>170</v>
      </c>
      <c r="X153" s="715"/>
      <c r="Y153" s="715"/>
      <c r="Z153" s="700" t="str">
        <f>IF(B153="","",IF(W154="－","算出不能",IF(AND(N153&gt;0,U153&gt;0,W154&gt;=0.8),"Ｃ≧0.8",IF(AND(N153&gt;0,U153&gt;0,W154&lt;0.8),"Ｃ＜0.8"))))</f>
        <v/>
      </c>
      <c r="AA153" s="701"/>
    </row>
    <row r="154" spans="1:28" s="9" customFormat="1" ht="17.25" customHeight="1" x14ac:dyDescent="0.15">
      <c r="B154" s="615"/>
      <c r="C154" s="616"/>
      <c r="D154" s="617"/>
      <c r="E154" s="28" t="str">
        <f>IF(B153="","",B153&amp;F154)</f>
        <v/>
      </c>
      <c r="F154" s="974" t="str">
        <f>IF($B153="","",DATE(YEAR($I$27)-10,MONTH($I$27),DAY($I$27)))</f>
        <v/>
      </c>
      <c r="G154" s="975"/>
      <c r="H154" s="976"/>
      <c r="I154" s="463"/>
      <c r="J154" s="464"/>
      <c r="K154" s="463"/>
      <c r="L154" s="593"/>
      <c r="M154" s="464"/>
      <c r="N154" s="304"/>
      <c r="O154" s="305"/>
      <c r="P154" s="463"/>
      <c r="Q154" s="464"/>
      <c r="R154" s="463"/>
      <c r="S154" s="593"/>
      <c r="T154" s="464"/>
      <c r="U154" s="304"/>
      <c r="V154" s="712"/>
      <c r="W154" s="320" t="str">
        <f>IF(B153="","",IF(OR(N153="－",U153="－",U153=0),"－",ROUND(N153/U153,2)))</f>
        <v/>
      </c>
      <c r="X154" s="321"/>
      <c r="Y154" s="321"/>
      <c r="Z154" s="702"/>
      <c r="AA154" s="703"/>
    </row>
    <row r="155" spans="1:28" s="9" customFormat="1" ht="17.25" customHeight="1" x14ac:dyDescent="0.15">
      <c r="B155" s="615"/>
      <c r="C155" s="616"/>
      <c r="D155" s="617"/>
      <c r="E155" s="28" t="str">
        <f>IF(B153="","",B153&amp;F155)</f>
        <v/>
      </c>
      <c r="F155" s="974" t="str">
        <f>IF($B153="","",DATE(YEAR($I$27)-11,MONTH($I$27),DAY($I$27)))</f>
        <v/>
      </c>
      <c r="G155" s="975"/>
      <c r="H155" s="976"/>
      <c r="I155" s="463"/>
      <c r="J155" s="464"/>
      <c r="K155" s="463"/>
      <c r="L155" s="593"/>
      <c r="M155" s="464"/>
      <c r="N155" s="304"/>
      <c r="O155" s="305"/>
      <c r="P155" s="463"/>
      <c r="Q155" s="464"/>
      <c r="R155" s="463"/>
      <c r="S155" s="593"/>
      <c r="T155" s="464"/>
      <c r="U155" s="304"/>
      <c r="V155" s="712"/>
      <c r="W155" s="320"/>
      <c r="X155" s="321"/>
      <c r="Y155" s="321"/>
      <c r="Z155" s="702"/>
      <c r="AA155" s="703"/>
    </row>
    <row r="156" spans="1:28" s="9" customFormat="1" ht="17.25" customHeight="1" x14ac:dyDescent="0.15">
      <c r="B156" s="618"/>
      <c r="C156" s="619"/>
      <c r="D156" s="620"/>
      <c r="E156" s="24"/>
      <c r="F156" s="718" t="s">
        <v>15</v>
      </c>
      <c r="G156" s="719"/>
      <c r="H156" s="720"/>
      <c r="I156" s="721" t="str">
        <f>IF($B$153="","",SUM(I153:J155))</f>
        <v/>
      </c>
      <c r="J156" s="722"/>
      <c r="K156" s="721" t="str">
        <f>IF($B$153="","",SUM(K153:M155))</f>
        <v/>
      </c>
      <c r="L156" s="723"/>
      <c r="M156" s="722"/>
      <c r="N156" s="709"/>
      <c r="O156" s="710"/>
      <c r="P156" s="721" t="str">
        <f>IF($B$153="","",SUM(P153:Q155))</f>
        <v/>
      </c>
      <c r="Q156" s="722"/>
      <c r="R156" s="721" t="str">
        <f>IF($B$153="","",SUM(R153:T155))</f>
        <v/>
      </c>
      <c r="S156" s="723"/>
      <c r="T156" s="722"/>
      <c r="U156" s="709"/>
      <c r="V156" s="713"/>
      <c r="W156" s="716"/>
      <c r="X156" s="717"/>
      <c r="Y156" s="717"/>
      <c r="Z156" s="727"/>
      <c r="AA156" s="728"/>
    </row>
    <row r="157" spans="1:28" s="9" customFormat="1" ht="17.25" customHeight="1" x14ac:dyDescent="0.15">
      <c r="B157" s="612" t="str">
        <f>IF(B58="","",B58)</f>
        <v/>
      </c>
      <c r="C157" s="613"/>
      <c r="D157" s="614"/>
      <c r="E157" s="28" t="str">
        <f>IF(B157="","",B157&amp;F157)</f>
        <v/>
      </c>
      <c r="F157" s="974" t="str">
        <f>IF($B157="","",DATE(YEAR($I$27)-9,MONTH($I$27),DAY($I$27)))</f>
        <v/>
      </c>
      <c r="G157" s="975"/>
      <c r="H157" s="976"/>
      <c r="I157" s="704"/>
      <c r="J157" s="705"/>
      <c r="K157" s="704"/>
      <c r="L157" s="706"/>
      <c r="M157" s="705"/>
      <c r="N157" s="707" t="str">
        <f t="shared" ref="N157" si="7">IF(B157="","",IF(I160&lt;=0,"－",ROUND(K160/I160,3)))</f>
        <v/>
      </c>
      <c r="O157" s="708"/>
      <c r="P157" s="704"/>
      <c r="Q157" s="705"/>
      <c r="R157" s="704"/>
      <c r="S157" s="706"/>
      <c r="T157" s="705"/>
      <c r="U157" s="707" t="str">
        <f t="shared" ref="U157" si="8">IF(B157="","",IF(P160&lt;=0,"－",ROUND(R160/P160,3)))</f>
        <v/>
      </c>
      <c r="V157" s="711"/>
      <c r="W157" s="714" t="s">
        <v>170</v>
      </c>
      <c r="X157" s="715"/>
      <c r="Y157" s="715"/>
      <c r="Z157" s="700" t="str">
        <f>IF(B157="","",IF(W158="－","算出不能",IF(AND(N157&gt;0,U157&gt;0,W158&gt;=0.8),"Ｃ≧0.8",IF(AND(N157&gt;0,U157&gt;0,W158&lt;0.8),"Ｃ＜0.8"))))</f>
        <v/>
      </c>
      <c r="AA157" s="701"/>
    </row>
    <row r="158" spans="1:28" s="9" customFormat="1" ht="17.25" customHeight="1" x14ac:dyDescent="0.15">
      <c r="B158" s="615"/>
      <c r="C158" s="616"/>
      <c r="D158" s="617"/>
      <c r="E158" s="28" t="str">
        <f>IF(B157="","",B157&amp;F158)</f>
        <v/>
      </c>
      <c r="F158" s="974" t="str">
        <f>IF($B157="","",DATE(YEAR($I$27)-10,MONTH($I$27),DAY($I$27)))</f>
        <v/>
      </c>
      <c r="G158" s="975"/>
      <c r="H158" s="976"/>
      <c r="I158" s="463"/>
      <c r="J158" s="464"/>
      <c r="K158" s="463"/>
      <c r="L158" s="593"/>
      <c r="M158" s="464"/>
      <c r="N158" s="304"/>
      <c r="O158" s="305"/>
      <c r="P158" s="463"/>
      <c r="Q158" s="464"/>
      <c r="R158" s="463"/>
      <c r="S158" s="593"/>
      <c r="T158" s="464"/>
      <c r="U158" s="304"/>
      <c r="V158" s="712"/>
      <c r="W158" s="320" t="str">
        <f>IF(B157="","",IF(OR(N157="－",U157="－",U157=0),"－",ROUND(N157/U157,2)))</f>
        <v/>
      </c>
      <c r="X158" s="321"/>
      <c r="Y158" s="321"/>
      <c r="Z158" s="702"/>
      <c r="AA158" s="703"/>
    </row>
    <row r="159" spans="1:28" s="9" customFormat="1" ht="17.25" customHeight="1" x14ac:dyDescent="0.15">
      <c r="B159" s="615"/>
      <c r="C159" s="616"/>
      <c r="D159" s="617"/>
      <c r="E159" s="28" t="str">
        <f>IF(B157="","",B157&amp;F159)</f>
        <v/>
      </c>
      <c r="F159" s="974" t="str">
        <f>IF($B157="","",DATE(YEAR($I$27)-11,MONTH($I$27),DAY($I$27)))</f>
        <v/>
      </c>
      <c r="G159" s="975"/>
      <c r="H159" s="976"/>
      <c r="I159" s="463"/>
      <c r="J159" s="464"/>
      <c r="K159" s="463"/>
      <c r="L159" s="593"/>
      <c r="M159" s="464"/>
      <c r="N159" s="304"/>
      <c r="O159" s="305"/>
      <c r="P159" s="463"/>
      <c r="Q159" s="464"/>
      <c r="R159" s="463"/>
      <c r="S159" s="593"/>
      <c r="T159" s="464"/>
      <c r="U159" s="304"/>
      <c r="V159" s="712"/>
      <c r="W159" s="320"/>
      <c r="X159" s="321"/>
      <c r="Y159" s="321"/>
      <c r="Z159" s="702"/>
      <c r="AA159" s="703"/>
    </row>
    <row r="160" spans="1:28" s="9" customFormat="1" ht="17.25" customHeight="1" x14ac:dyDescent="0.15">
      <c r="B160" s="618"/>
      <c r="C160" s="619"/>
      <c r="D160" s="620"/>
      <c r="E160" s="24"/>
      <c r="F160" s="718" t="s">
        <v>15</v>
      </c>
      <c r="G160" s="719"/>
      <c r="H160" s="720"/>
      <c r="I160" s="721" t="str">
        <f>IF($B$157="","",SUM(I157:J159))</f>
        <v/>
      </c>
      <c r="J160" s="722"/>
      <c r="K160" s="721" t="str">
        <f>IF($B$157="","",SUM(K157:M159))</f>
        <v/>
      </c>
      <c r="L160" s="723"/>
      <c r="M160" s="722"/>
      <c r="N160" s="709"/>
      <c r="O160" s="710"/>
      <c r="P160" s="721" t="str">
        <f>IF($B$157="","",SUM(P157:Q159))</f>
        <v/>
      </c>
      <c r="Q160" s="722"/>
      <c r="R160" s="724" t="str">
        <f>IF($B$157="","",SUM(R157:T159))</f>
        <v/>
      </c>
      <c r="S160" s="725"/>
      <c r="T160" s="726"/>
      <c r="U160" s="709"/>
      <c r="V160" s="713"/>
      <c r="W160" s="716"/>
      <c r="X160" s="717"/>
      <c r="Y160" s="717"/>
      <c r="Z160" s="727"/>
      <c r="AA160" s="728"/>
    </row>
    <row r="161" spans="1:28" s="9" customFormat="1" ht="17.25" customHeight="1" x14ac:dyDescent="0.15">
      <c r="B161" s="612" t="str">
        <f>IF(B61="","",B61)</f>
        <v/>
      </c>
      <c r="C161" s="613"/>
      <c r="D161" s="614"/>
      <c r="E161" s="28" t="str">
        <f>IF(B161="","",B161&amp;F161)</f>
        <v/>
      </c>
      <c r="F161" s="974" t="str">
        <f>IF($B161="","",DATE(YEAR($I$27)-9,MONTH($I$27),DAY($I$27)))</f>
        <v/>
      </c>
      <c r="G161" s="975"/>
      <c r="H161" s="976"/>
      <c r="I161" s="704"/>
      <c r="J161" s="705"/>
      <c r="K161" s="704"/>
      <c r="L161" s="706"/>
      <c r="M161" s="705"/>
      <c r="N161" s="707" t="str">
        <f t="shared" ref="N161" si="9">IF(B161="","",IF(I164&lt;=0,"－",ROUND(K164/I164,3)))</f>
        <v/>
      </c>
      <c r="O161" s="708"/>
      <c r="P161" s="704"/>
      <c r="Q161" s="705"/>
      <c r="R161" s="704"/>
      <c r="S161" s="706"/>
      <c r="T161" s="705"/>
      <c r="U161" s="707" t="str">
        <f t="shared" ref="U161" si="10">IF(B161="","",IF(P164&lt;=0,"－",ROUND(R164/P164,3)))</f>
        <v/>
      </c>
      <c r="V161" s="711"/>
      <c r="W161" s="714" t="s">
        <v>170</v>
      </c>
      <c r="X161" s="715"/>
      <c r="Y161" s="715"/>
      <c r="Z161" s="700" t="str">
        <f>IF(B161="","",IF(W162="－","算出不能",IF(AND(N161&gt;0,U161&gt;0,W162&gt;=0.8),"Ｃ≧0.8",IF(AND(N161&gt;0,U161&gt;0,W162&lt;0.8),"Ｃ＜0.8"))))</f>
        <v/>
      </c>
      <c r="AA161" s="701"/>
    </row>
    <row r="162" spans="1:28" s="9" customFormat="1" ht="17.25" customHeight="1" x14ac:dyDescent="0.15">
      <c r="B162" s="615"/>
      <c r="C162" s="616"/>
      <c r="D162" s="617"/>
      <c r="E162" s="28" t="str">
        <f>IF(B161="","",B161&amp;F162)</f>
        <v/>
      </c>
      <c r="F162" s="974" t="str">
        <f>IF($B161="","",DATE(YEAR($I$27)-10,MONTH($I$27),DAY($I$27)))</f>
        <v/>
      </c>
      <c r="G162" s="975"/>
      <c r="H162" s="976"/>
      <c r="I162" s="463"/>
      <c r="J162" s="464"/>
      <c r="K162" s="463"/>
      <c r="L162" s="593"/>
      <c r="M162" s="464"/>
      <c r="N162" s="304"/>
      <c r="O162" s="305"/>
      <c r="P162" s="463"/>
      <c r="Q162" s="464"/>
      <c r="R162" s="463"/>
      <c r="S162" s="593"/>
      <c r="T162" s="464"/>
      <c r="U162" s="304"/>
      <c r="V162" s="712"/>
      <c r="W162" s="320" t="str">
        <f>IF(B161="","",IF(OR(N161="－",U161="－",U161=0),"－",ROUND(N161/U161,2)))</f>
        <v/>
      </c>
      <c r="X162" s="321"/>
      <c r="Y162" s="321"/>
      <c r="Z162" s="702"/>
      <c r="AA162" s="703"/>
    </row>
    <row r="163" spans="1:28" s="9" customFormat="1" ht="17.25" customHeight="1" x14ac:dyDescent="0.15">
      <c r="B163" s="615"/>
      <c r="C163" s="616"/>
      <c r="D163" s="617"/>
      <c r="E163" s="28" t="str">
        <f>IF(B161="","",B161&amp;F163)</f>
        <v/>
      </c>
      <c r="F163" s="974" t="str">
        <f>IF($B161="","",DATE(YEAR($I$27)-11,MONTH($I$27),DAY($I$27)))</f>
        <v/>
      </c>
      <c r="G163" s="975"/>
      <c r="H163" s="976"/>
      <c r="I163" s="463"/>
      <c r="J163" s="464"/>
      <c r="K163" s="463"/>
      <c r="L163" s="593"/>
      <c r="M163" s="464"/>
      <c r="N163" s="304"/>
      <c r="O163" s="305"/>
      <c r="P163" s="463"/>
      <c r="Q163" s="464"/>
      <c r="R163" s="463"/>
      <c r="S163" s="593"/>
      <c r="T163" s="464"/>
      <c r="U163" s="304"/>
      <c r="V163" s="712"/>
      <c r="W163" s="320"/>
      <c r="X163" s="321"/>
      <c r="Y163" s="321"/>
      <c r="Z163" s="702"/>
      <c r="AA163" s="703"/>
    </row>
    <row r="164" spans="1:28" s="9" customFormat="1" ht="17.25" customHeight="1" thickBot="1" x14ac:dyDescent="0.2">
      <c r="B164" s="618"/>
      <c r="C164" s="619"/>
      <c r="D164" s="620"/>
      <c r="E164" s="24"/>
      <c r="F164" s="692" t="s">
        <v>15</v>
      </c>
      <c r="G164" s="693"/>
      <c r="H164" s="694"/>
      <c r="I164" s="695" t="str">
        <f>IF($B$161="","",SUM(I161:J163))</f>
        <v/>
      </c>
      <c r="J164" s="696"/>
      <c r="K164" s="697" t="str">
        <f>IF($B$161="","",SUM(K161:M163))</f>
        <v/>
      </c>
      <c r="L164" s="698"/>
      <c r="M164" s="699"/>
      <c r="N164" s="304"/>
      <c r="O164" s="305"/>
      <c r="P164" s="695" t="str">
        <f>IF($B$161="","",SUM(P161:Q163))</f>
        <v/>
      </c>
      <c r="Q164" s="696"/>
      <c r="R164" s="697" t="str">
        <f>IF($B$161="","",SUM(R161:T163))</f>
        <v/>
      </c>
      <c r="S164" s="698"/>
      <c r="T164" s="699"/>
      <c r="U164" s="304"/>
      <c r="V164" s="712"/>
      <c r="W164" s="686"/>
      <c r="X164" s="687"/>
      <c r="Y164" s="687"/>
      <c r="Z164" s="702"/>
      <c r="AA164" s="703"/>
    </row>
    <row r="165" spans="1:28" s="9" customFormat="1" ht="27.75" customHeight="1" thickTop="1" thickBot="1" x14ac:dyDescent="0.2">
      <c r="A165" s="19"/>
      <c r="C165" s="66"/>
      <c r="D165" s="66"/>
      <c r="E165" s="66"/>
      <c r="F165" s="688" t="s">
        <v>196</v>
      </c>
      <c r="G165" s="689"/>
      <c r="H165" s="689"/>
      <c r="I165" s="689"/>
      <c r="J165" s="689"/>
      <c r="K165" s="689"/>
      <c r="L165" s="689"/>
      <c r="M165" s="689"/>
      <c r="N165" s="689"/>
      <c r="O165" s="689"/>
      <c r="P165" s="689"/>
      <c r="Q165" s="689"/>
      <c r="R165" s="689"/>
      <c r="S165" s="689"/>
      <c r="T165" s="689"/>
      <c r="U165" s="689"/>
      <c r="V165" s="689"/>
      <c r="W165" s="690"/>
      <c r="X165" s="690"/>
      <c r="Y165" s="690"/>
      <c r="Z165" s="690"/>
      <c r="AA165" s="691"/>
      <c r="AB165" s="19"/>
    </row>
    <row r="166" spans="1:28" s="9" customFormat="1" ht="17.25" customHeight="1" thickTop="1" x14ac:dyDescent="0.15">
      <c r="A166" s="19"/>
      <c r="B166" s="19"/>
      <c r="C166" s="19"/>
      <c r="D166" s="19"/>
      <c r="E166" s="19"/>
      <c r="F166" s="19"/>
      <c r="G166" s="19"/>
      <c r="H166" s="19"/>
      <c r="I166" s="19"/>
      <c r="J166" s="19"/>
      <c r="K166" s="19"/>
      <c r="L166" s="19"/>
      <c r="M166" s="19"/>
      <c r="N166" s="19"/>
      <c r="O166" s="19"/>
      <c r="P166" s="19"/>
      <c r="Q166" s="19"/>
      <c r="R166" s="19"/>
      <c r="S166" s="19"/>
      <c r="T166" s="19"/>
      <c r="U166" s="19"/>
      <c r="AA166" s="35" t="str">
        <f>IF(G23="","",IF(W165="","リストから選択↑　",""))</f>
        <v/>
      </c>
      <c r="AB166" s="19"/>
    </row>
    <row r="167" spans="1:28" ht="17.25" customHeight="1" x14ac:dyDescent="0.15">
      <c r="B167" s="9" t="s">
        <v>212</v>
      </c>
    </row>
    <row r="168" spans="1:28" ht="27.75" customHeight="1" x14ac:dyDescent="0.15">
      <c r="C168" s="606" t="s">
        <v>244</v>
      </c>
      <c r="D168" s="606"/>
      <c r="E168" s="606"/>
      <c r="F168" s="606"/>
      <c r="G168" s="606"/>
      <c r="H168" s="606"/>
      <c r="I168" s="606"/>
      <c r="J168" s="606"/>
      <c r="K168" s="606"/>
      <c r="L168" s="606"/>
      <c r="M168" s="606"/>
      <c r="N168" s="606"/>
      <c r="O168" s="606"/>
      <c r="P168" s="606"/>
      <c r="Q168" s="606"/>
      <c r="R168" s="606"/>
      <c r="S168" s="606"/>
      <c r="T168" s="606"/>
      <c r="U168" s="606"/>
      <c r="V168" s="606"/>
      <c r="W168" s="606"/>
      <c r="X168" s="606"/>
      <c r="Y168" s="606"/>
      <c r="Z168" s="606"/>
      <c r="AA168" s="606"/>
    </row>
    <row r="169" spans="1:28" s="9" customFormat="1" ht="17.25" customHeight="1" x14ac:dyDescent="0.15">
      <c r="B169" s="926" t="s">
        <v>0</v>
      </c>
      <c r="C169" s="927"/>
      <c r="D169" s="928"/>
      <c r="E169" s="93"/>
      <c r="F169" s="924" t="s">
        <v>213</v>
      </c>
      <c r="G169" s="925"/>
      <c r="H169" s="925"/>
      <c r="I169" s="925"/>
      <c r="J169" s="925"/>
      <c r="K169" s="925"/>
      <c r="L169" s="925"/>
      <c r="M169" s="925"/>
      <c r="N169" s="925"/>
      <c r="O169" s="925"/>
      <c r="P169" s="925"/>
      <c r="Q169" s="925"/>
      <c r="R169" s="925"/>
      <c r="S169" s="925"/>
      <c r="T169" s="925"/>
      <c r="U169" s="925"/>
      <c r="V169" s="925"/>
      <c r="W169" s="925"/>
      <c r="X169" s="925"/>
      <c r="Y169" s="924" t="s">
        <v>231</v>
      </c>
      <c r="Z169" s="925"/>
      <c r="AA169" s="929"/>
    </row>
    <row r="170" spans="1:28" s="9" customFormat="1" ht="17.25" customHeight="1" x14ac:dyDescent="0.15">
      <c r="B170" s="553"/>
      <c r="C170" s="554"/>
      <c r="D170" s="555"/>
      <c r="E170" s="29" t="str">
        <f>IF(B170="","",B170&amp;F$154)</f>
        <v/>
      </c>
      <c r="F170" s="665" t="str">
        <f>IF(B170=""," 9～11年前採用者の10年後継続雇用割合の男女比　　　　　　　　　 上記ア","〔"&amp;S15&amp;"～"&amp;T17&amp;"採用者〕の"&amp;O16&amp;"における継続雇用割合の男女比（上記ア）")</f>
        <v xml:space="preserve"> 9～11年前採用者の10年後継続雇用割合の男女比　　　　　　　　　 上記ア</v>
      </c>
      <c r="G170" s="666"/>
      <c r="H170" s="666"/>
      <c r="I170" s="666"/>
      <c r="J170" s="666"/>
      <c r="K170" s="666"/>
      <c r="L170" s="666"/>
      <c r="M170" s="666"/>
      <c r="N170" s="666"/>
      <c r="O170" s="666"/>
      <c r="P170" s="666"/>
      <c r="Q170" s="666"/>
      <c r="R170" s="666"/>
      <c r="S170" s="666"/>
      <c r="T170" s="666"/>
      <c r="U170" s="666"/>
      <c r="V170" s="666"/>
      <c r="W170" s="666"/>
      <c r="X170" s="667"/>
      <c r="Y170" s="653" t="str">
        <f>IF(B170="","",VLOOKUP(E170,E$153:Y$164,19,FALSE))</f>
        <v/>
      </c>
      <c r="Z170" s="654"/>
      <c r="AA170" s="668"/>
    </row>
    <row r="171" spans="1:28" s="9" customFormat="1" ht="17.25" customHeight="1" x14ac:dyDescent="0.15">
      <c r="B171" s="564"/>
      <c r="C171" s="349"/>
      <c r="D171" s="565"/>
      <c r="E171" s="28" t="str">
        <f>IF(B170="","",B170&amp;DATE(YEAR($I$27)-11,MONTH($I$27),DAY($I$27))&amp;"その2")</f>
        <v/>
      </c>
      <c r="F171" s="665" t="str">
        <f>IF(B170="","10～12年前採用者の　　　　　　〃　　　　　　（アの1年ずつ前）　別紙イ","〔"&amp;S16&amp;"～"&amp;T18&amp;"採用者〕の"&amp;O17&amp;"における　　　　　〃　　　　　別紙イ")</f>
        <v>10～12年前採用者の　　　　　　〃　　　　　　（アの1年ずつ前）　別紙イ</v>
      </c>
      <c r="G171" s="666"/>
      <c r="H171" s="666"/>
      <c r="I171" s="666"/>
      <c r="J171" s="666"/>
      <c r="K171" s="666"/>
      <c r="L171" s="666"/>
      <c r="M171" s="666"/>
      <c r="N171" s="666"/>
      <c r="O171" s="666"/>
      <c r="P171" s="666"/>
      <c r="Q171" s="666"/>
      <c r="R171" s="666"/>
      <c r="S171" s="666"/>
      <c r="T171" s="666"/>
      <c r="U171" s="666"/>
      <c r="V171" s="666"/>
      <c r="W171" s="666"/>
      <c r="X171" s="667"/>
      <c r="Y171" s="653" t="str">
        <f>IF(B170="","",VLOOKUP(E171,$E$347:$AA$420,21,FALSE))</f>
        <v/>
      </c>
      <c r="Z171" s="654"/>
      <c r="AA171" s="668"/>
    </row>
    <row r="172" spans="1:28" s="9" customFormat="1" ht="17.25" customHeight="1" x14ac:dyDescent="0.15">
      <c r="B172" s="564"/>
      <c r="C172" s="349"/>
      <c r="D172" s="565"/>
      <c r="E172" s="28" t="str">
        <f>IF(B170="","",B170&amp;DATE(YEAR($I$27)-12,MONTH($I$27),DAY($I$27)))</f>
        <v/>
      </c>
      <c r="F172" s="665" t="str">
        <f>IF(B170="","11～13年前採用者の　　　　　　〃　　　　　　（アの2年ずつ前）　別紙ウ","〔"&amp;S17&amp;"～"&amp;T19&amp;"採用者〕の"&amp;O18&amp;"における　　　　　〃　　　　　別紙ウ")</f>
        <v>11～13年前採用者の　　　　　　〃　　　　　　（アの2年ずつ前）　別紙ウ</v>
      </c>
      <c r="G172" s="666"/>
      <c r="H172" s="666"/>
      <c r="I172" s="666"/>
      <c r="J172" s="666"/>
      <c r="K172" s="666"/>
      <c r="L172" s="666"/>
      <c r="M172" s="666"/>
      <c r="N172" s="666"/>
      <c r="O172" s="666"/>
      <c r="P172" s="666"/>
      <c r="Q172" s="666"/>
      <c r="R172" s="666"/>
      <c r="S172" s="666"/>
      <c r="T172" s="666"/>
      <c r="U172" s="666"/>
      <c r="V172" s="666"/>
      <c r="W172" s="666"/>
      <c r="X172" s="667"/>
      <c r="Y172" s="653" t="str">
        <f>IF(B170="","",VLOOKUP(E172,$E$347:$AA$420,21,FALSE))</f>
        <v/>
      </c>
      <c r="Z172" s="654"/>
      <c r="AA172" s="668"/>
    </row>
    <row r="173" spans="1:28" s="9" customFormat="1" ht="17.25" customHeight="1" x14ac:dyDescent="0.15">
      <c r="B173" s="564"/>
      <c r="C173" s="349"/>
      <c r="D173" s="565"/>
      <c r="E173" s="28" t="str">
        <f>IF(B170="","",B170&amp;DATE(YEAR($I$27)-13,MONTH($I$27),DAY($I$27)))</f>
        <v/>
      </c>
      <c r="F173" s="665" t="str">
        <f>IF(B170="","12～14年前採用者の　　　　　　〃　　　　　　（アの3年ずつ前）　別紙エ","〔"&amp;S18&amp;"～"&amp;T20&amp;"採用者〕の"&amp;O19&amp;"における　　　　　〃　　　　　別紙エ")</f>
        <v>12～14年前採用者の　　　　　　〃　　　　　　（アの3年ずつ前）　別紙エ</v>
      </c>
      <c r="G173" s="666"/>
      <c r="H173" s="666"/>
      <c r="I173" s="666"/>
      <c r="J173" s="666"/>
      <c r="K173" s="666"/>
      <c r="L173" s="666"/>
      <c r="M173" s="666"/>
      <c r="N173" s="666"/>
      <c r="O173" s="666"/>
      <c r="P173" s="666"/>
      <c r="Q173" s="666"/>
      <c r="R173" s="666"/>
      <c r="S173" s="666"/>
      <c r="T173" s="666"/>
      <c r="U173" s="666"/>
      <c r="V173" s="666"/>
      <c r="W173" s="666"/>
      <c r="X173" s="667"/>
      <c r="Y173" s="653" t="str">
        <f>IF(B170="","",VLOOKUP(E173,$E$347:$AA$420,21,FALSE))</f>
        <v/>
      </c>
      <c r="Z173" s="654"/>
      <c r="AA173" s="668"/>
    </row>
    <row r="174" spans="1:28" s="9" customFormat="1" ht="17.25" customHeight="1" thickBot="1" x14ac:dyDescent="0.2">
      <c r="B174" s="564"/>
      <c r="C174" s="349"/>
      <c r="D174" s="565"/>
      <c r="E174" s="28" t="str">
        <f>IF(B170="","",B170&amp;DATE(YEAR($I$27)-14,MONTH($I$27),DAY($I$27)))</f>
        <v/>
      </c>
      <c r="F174" s="665" t="str">
        <f>IF(B170="","13～15年前採用者の　　　　　　〃　　　　　　（アの4年ずつ前）　別紙オ","〔"&amp;S19&amp;"～"&amp;T21&amp;"採用者〕の"&amp;O20&amp;"における　　　　　〃　　　　　別紙オ")</f>
        <v>13～15年前採用者の　　　　　　〃　　　　　　（アの4年ずつ前）　別紙オ</v>
      </c>
      <c r="G174" s="666"/>
      <c r="H174" s="666"/>
      <c r="I174" s="669"/>
      <c r="J174" s="669"/>
      <c r="K174" s="669"/>
      <c r="L174" s="669"/>
      <c r="M174" s="669"/>
      <c r="N174" s="669"/>
      <c r="O174" s="669"/>
      <c r="P174" s="669"/>
      <c r="Q174" s="669"/>
      <c r="R174" s="669"/>
      <c r="S174" s="669"/>
      <c r="T174" s="669"/>
      <c r="U174" s="669"/>
      <c r="V174" s="669"/>
      <c r="W174" s="669"/>
      <c r="X174" s="670"/>
      <c r="Y174" s="647" t="str">
        <f>IF(B170="","",VLOOKUP(E174,$E$347:$AA$420,21,FALSE))</f>
        <v/>
      </c>
      <c r="Z174" s="648"/>
      <c r="AA174" s="649"/>
    </row>
    <row r="175" spans="1:28" s="9" customFormat="1" ht="17.25" customHeight="1" x14ac:dyDescent="0.15">
      <c r="B175" s="564"/>
      <c r="C175" s="349"/>
      <c r="D175" s="565"/>
      <c r="E175" s="70" t="str">
        <f>B170&amp;1</f>
        <v>1</v>
      </c>
      <c r="F175" s="671"/>
      <c r="G175" s="672"/>
      <c r="H175" s="672"/>
      <c r="I175" s="677" t="str">
        <f>IF(B170=""," 9～13年前採用者の３事業年度ごとの平均（ア～ウの平均）","〔"&amp;S15&amp;"～"&amp;T19&amp;"採用者〕の３事業年度ごとの平均（ア～ウの平均）")</f>
        <v xml:space="preserve"> 9～13年前採用者の３事業年度ごとの平均（ア～ウの平均）</v>
      </c>
      <c r="J175" s="678"/>
      <c r="K175" s="678"/>
      <c r="L175" s="678"/>
      <c r="M175" s="678"/>
      <c r="N175" s="678"/>
      <c r="O175" s="678"/>
      <c r="P175" s="678"/>
      <c r="Q175" s="678"/>
      <c r="R175" s="678"/>
      <c r="S175" s="678"/>
      <c r="T175" s="678"/>
      <c r="U175" s="678"/>
      <c r="V175" s="678"/>
      <c r="W175" s="678"/>
      <c r="X175" s="679"/>
      <c r="Y175" s="650" t="str">
        <f>IF(B170="","",VLOOKUP(E175,$E$347:$AA$420,21,FALSE))</f>
        <v/>
      </c>
      <c r="Z175" s="651"/>
      <c r="AA175" s="652"/>
    </row>
    <row r="176" spans="1:28" s="9" customFormat="1" ht="17.25" customHeight="1" x14ac:dyDescent="0.15">
      <c r="B176" s="564"/>
      <c r="C176" s="349"/>
      <c r="D176" s="565"/>
      <c r="E176" s="70" t="str">
        <f>B170&amp;2</f>
        <v>2</v>
      </c>
      <c r="F176" s="673"/>
      <c r="G176" s="674"/>
      <c r="H176" s="674"/>
      <c r="I176" s="680" t="str">
        <f>IF(B170="","10～14年前採用者の　　　　　〃　　　　（イ～エの平均）","〔"&amp;S16&amp;"～"&amp;T20&amp;"採用者〕の　　　　　〃　　　　（イ～エの平均）")</f>
        <v>10～14年前採用者の　　　　　〃　　　　（イ～エの平均）</v>
      </c>
      <c r="J176" s="681"/>
      <c r="K176" s="681"/>
      <c r="L176" s="681"/>
      <c r="M176" s="681"/>
      <c r="N176" s="681"/>
      <c r="O176" s="681"/>
      <c r="P176" s="681"/>
      <c r="Q176" s="681"/>
      <c r="R176" s="681"/>
      <c r="S176" s="681"/>
      <c r="T176" s="681"/>
      <c r="U176" s="681"/>
      <c r="V176" s="681"/>
      <c r="W176" s="681"/>
      <c r="X176" s="682"/>
      <c r="Y176" s="653" t="str">
        <f>IF(B170="","",VLOOKUP(E176,$E$347:$AA$420,21,FALSE))</f>
        <v/>
      </c>
      <c r="Z176" s="654"/>
      <c r="AA176" s="655"/>
    </row>
    <row r="177" spans="2:27" s="9" customFormat="1" ht="17.25" customHeight="1" thickBot="1" x14ac:dyDescent="0.2">
      <c r="B177" s="566"/>
      <c r="C177" s="567"/>
      <c r="D177" s="568"/>
      <c r="E177" s="103" t="str">
        <f>B170&amp;3</f>
        <v>3</v>
      </c>
      <c r="F177" s="675"/>
      <c r="G177" s="676"/>
      <c r="H177" s="676"/>
      <c r="I177" s="683" t="str">
        <f>IF(B170="","11～15年前採用者の　　　　　〃　　　　（ウ～オの平均）","〔"&amp;S17&amp;"～"&amp;T21&amp;"採用者〕の　　　　　〃　　　　（ウ～オの平均）")</f>
        <v>11～15年前採用者の　　　　　〃　　　　（ウ～オの平均）</v>
      </c>
      <c r="J177" s="684"/>
      <c r="K177" s="684"/>
      <c r="L177" s="684"/>
      <c r="M177" s="684"/>
      <c r="N177" s="684"/>
      <c r="O177" s="684"/>
      <c r="P177" s="684"/>
      <c r="Q177" s="684"/>
      <c r="R177" s="684"/>
      <c r="S177" s="684"/>
      <c r="T177" s="684"/>
      <c r="U177" s="684"/>
      <c r="V177" s="684"/>
      <c r="W177" s="684"/>
      <c r="X177" s="685"/>
      <c r="Y177" s="656" t="str">
        <f>IF(B170="","",VLOOKUP(E177,$E$347:$AA$420,21,FALSE))</f>
        <v/>
      </c>
      <c r="Z177" s="657"/>
      <c r="AA177" s="658"/>
    </row>
    <row r="178" spans="2:27" s="9" customFormat="1" ht="17.25" customHeight="1" x14ac:dyDescent="0.15">
      <c r="B178" s="553"/>
      <c r="C178" s="554"/>
      <c r="D178" s="555"/>
      <c r="E178" s="29" t="str">
        <f>IF(B178="","",B178&amp;F$154)</f>
        <v/>
      </c>
      <c r="F178" s="665" t="str">
        <f>IF(B178=""," 9～11年前採用者の10年後継続雇用割合の男女比　　　　　　　　　 上記ア","〔"&amp;S15&amp;"～"&amp;T17&amp;"採用者〕の"&amp;O16&amp;"における継続雇用割合の男女比（上記ア）")</f>
        <v xml:space="preserve"> 9～11年前採用者の10年後継続雇用割合の男女比　　　　　　　　　 上記ア</v>
      </c>
      <c r="G178" s="666"/>
      <c r="H178" s="666"/>
      <c r="I178" s="660"/>
      <c r="J178" s="660"/>
      <c r="K178" s="660"/>
      <c r="L178" s="660"/>
      <c r="M178" s="660"/>
      <c r="N178" s="660"/>
      <c r="O178" s="660"/>
      <c r="P178" s="660"/>
      <c r="Q178" s="660"/>
      <c r="R178" s="660"/>
      <c r="S178" s="660"/>
      <c r="T178" s="660"/>
      <c r="U178" s="660"/>
      <c r="V178" s="660"/>
      <c r="W178" s="660"/>
      <c r="X178" s="661"/>
      <c r="Y178" s="662" t="str">
        <f>IF(B178="","",VLOOKUP(E178,E$153:Y$164,19,FALSE))</f>
        <v/>
      </c>
      <c r="Z178" s="663"/>
      <c r="AA178" s="664"/>
    </row>
    <row r="179" spans="2:27" s="9" customFormat="1" ht="17.25" customHeight="1" x14ac:dyDescent="0.15">
      <c r="B179" s="564"/>
      <c r="C179" s="349"/>
      <c r="D179" s="565"/>
      <c r="E179" s="28" t="str">
        <f>IF(B178="","",B178&amp;DATE(YEAR($I$27)-11,MONTH($I$27),DAY($I$27))&amp;"その2")</f>
        <v/>
      </c>
      <c r="F179" s="665" t="str">
        <f>IF(B178="","10～12年前採用者の　　　　　　〃　　　　　　（アの1年ずつ前）　別紙イ","〔"&amp;S16&amp;"～"&amp;T18&amp;"採用者〕の"&amp;O17&amp;"における　　　　　〃　　　　　別紙イ")</f>
        <v>10～12年前採用者の　　　　　　〃　　　　　　（アの1年ずつ前）　別紙イ</v>
      </c>
      <c r="G179" s="666"/>
      <c r="H179" s="666"/>
      <c r="I179" s="666"/>
      <c r="J179" s="666"/>
      <c r="K179" s="666"/>
      <c r="L179" s="666"/>
      <c r="M179" s="666"/>
      <c r="N179" s="666"/>
      <c r="O179" s="666"/>
      <c r="P179" s="666"/>
      <c r="Q179" s="666"/>
      <c r="R179" s="666"/>
      <c r="S179" s="666"/>
      <c r="T179" s="666"/>
      <c r="U179" s="666"/>
      <c r="V179" s="666"/>
      <c r="W179" s="666"/>
      <c r="X179" s="667"/>
      <c r="Y179" s="653" t="str">
        <f>IF(B178="","",VLOOKUP(E179,$E$347:$AA$420,21,FALSE))</f>
        <v/>
      </c>
      <c r="Z179" s="654"/>
      <c r="AA179" s="668"/>
    </row>
    <row r="180" spans="2:27" s="9" customFormat="1" ht="17.25" customHeight="1" x14ac:dyDescent="0.15">
      <c r="B180" s="564"/>
      <c r="C180" s="349"/>
      <c r="D180" s="565"/>
      <c r="E180" s="28" t="str">
        <f>IF(B178="","",B178&amp;DATE(YEAR($I$27)-12,MONTH($I$27),DAY($I$27)))</f>
        <v/>
      </c>
      <c r="F180" s="665" t="str">
        <f>IF(B178="","11～13年前採用者の　　　　　　〃　　　　　　（アの2年ずつ前）　別紙ウ","〔"&amp;S17&amp;"～"&amp;T19&amp;"採用者〕の"&amp;O18&amp;"における　　　　　〃　　　　　別紙ウ")</f>
        <v>11～13年前採用者の　　　　　　〃　　　　　　（アの2年ずつ前）　別紙ウ</v>
      </c>
      <c r="G180" s="666"/>
      <c r="H180" s="666"/>
      <c r="I180" s="666"/>
      <c r="J180" s="666"/>
      <c r="K180" s="666"/>
      <c r="L180" s="666"/>
      <c r="M180" s="666"/>
      <c r="N180" s="666"/>
      <c r="O180" s="666"/>
      <c r="P180" s="666"/>
      <c r="Q180" s="666"/>
      <c r="R180" s="666"/>
      <c r="S180" s="666"/>
      <c r="T180" s="666"/>
      <c r="U180" s="666"/>
      <c r="V180" s="666"/>
      <c r="W180" s="666"/>
      <c r="X180" s="667"/>
      <c r="Y180" s="653" t="str">
        <f>IF(B178="","",VLOOKUP(E180,$E$347:$AA$420,21,FALSE))</f>
        <v/>
      </c>
      <c r="Z180" s="654"/>
      <c r="AA180" s="668"/>
    </row>
    <row r="181" spans="2:27" s="9" customFormat="1" ht="17.25" customHeight="1" x14ac:dyDescent="0.15">
      <c r="B181" s="564"/>
      <c r="C181" s="349"/>
      <c r="D181" s="565"/>
      <c r="E181" s="28" t="str">
        <f>IF(B178="","",B178&amp;DATE(YEAR($I$27)-13,MONTH($I$27),DAY($I$27)))</f>
        <v/>
      </c>
      <c r="F181" s="665" t="str">
        <f>IF(B178="","12～14年前採用者の　　　　　　〃　　　　　　（アの3年ずつ前）　別紙エ","〔"&amp;S18&amp;"～"&amp;T20&amp;"採用者〕の"&amp;O19&amp;"における　　　　　〃　　　　　別紙エ")</f>
        <v>12～14年前採用者の　　　　　　〃　　　　　　（アの3年ずつ前）　別紙エ</v>
      </c>
      <c r="G181" s="666"/>
      <c r="H181" s="666"/>
      <c r="I181" s="666"/>
      <c r="J181" s="666"/>
      <c r="K181" s="666"/>
      <c r="L181" s="666"/>
      <c r="M181" s="666"/>
      <c r="N181" s="666"/>
      <c r="O181" s="666"/>
      <c r="P181" s="666"/>
      <c r="Q181" s="666"/>
      <c r="R181" s="666"/>
      <c r="S181" s="666"/>
      <c r="T181" s="666"/>
      <c r="U181" s="666"/>
      <c r="V181" s="666"/>
      <c r="W181" s="666"/>
      <c r="X181" s="667"/>
      <c r="Y181" s="653" t="str">
        <f>IF(B178="","",VLOOKUP(E181,$E$347:$AA$420,21,FALSE))</f>
        <v/>
      </c>
      <c r="Z181" s="654"/>
      <c r="AA181" s="668"/>
    </row>
    <row r="182" spans="2:27" s="9" customFormat="1" ht="17.25" customHeight="1" thickBot="1" x14ac:dyDescent="0.2">
      <c r="B182" s="564"/>
      <c r="C182" s="349"/>
      <c r="D182" s="565"/>
      <c r="E182" s="28" t="str">
        <f>IF(B178="","",B178&amp;DATE(YEAR($I$27)-14,MONTH($I$27),DAY($I$27)))</f>
        <v/>
      </c>
      <c r="F182" s="665" t="str">
        <f>IF(B178="","13～15年前採用者の　　　　　　〃　　　　　　（アの4年ずつ前）　別紙オ","〔"&amp;S19&amp;"～"&amp;T21&amp;"採用者〕の"&amp;O20&amp;"における　　　　　〃　　　　　別紙オ")</f>
        <v>13～15年前採用者の　　　　　　〃　　　　　　（アの4年ずつ前）　別紙オ</v>
      </c>
      <c r="G182" s="666"/>
      <c r="H182" s="666"/>
      <c r="I182" s="669"/>
      <c r="J182" s="669"/>
      <c r="K182" s="669"/>
      <c r="L182" s="669"/>
      <c r="M182" s="669"/>
      <c r="N182" s="669"/>
      <c r="O182" s="669"/>
      <c r="P182" s="669"/>
      <c r="Q182" s="669"/>
      <c r="R182" s="669"/>
      <c r="S182" s="669"/>
      <c r="T182" s="669"/>
      <c r="U182" s="669"/>
      <c r="V182" s="669"/>
      <c r="W182" s="669"/>
      <c r="X182" s="670"/>
      <c r="Y182" s="647" t="str">
        <f>IF(B178="","",VLOOKUP(E182,$E$347:$AA$420,21,FALSE))</f>
        <v/>
      </c>
      <c r="Z182" s="648"/>
      <c r="AA182" s="649"/>
    </row>
    <row r="183" spans="2:27" s="9" customFormat="1" ht="17.25" customHeight="1" x14ac:dyDescent="0.15">
      <c r="B183" s="564"/>
      <c r="C183" s="349"/>
      <c r="D183" s="565"/>
      <c r="E183" s="70" t="str">
        <f>B178&amp;1</f>
        <v>1</v>
      </c>
      <c r="F183" s="671"/>
      <c r="G183" s="672"/>
      <c r="H183" s="672"/>
      <c r="I183" s="677" t="str">
        <f>IF(B178=""," 9～13年前採用者の３事業年度ごとの平均（ア～ウの平均）","〔"&amp;S15&amp;"～"&amp;T19&amp;"採用者〕の３事業年度ごとの平均（ア～ウの平均）")</f>
        <v xml:space="preserve"> 9～13年前採用者の３事業年度ごとの平均（ア～ウの平均）</v>
      </c>
      <c r="J183" s="678"/>
      <c r="K183" s="678"/>
      <c r="L183" s="678"/>
      <c r="M183" s="678"/>
      <c r="N183" s="678"/>
      <c r="O183" s="678"/>
      <c r="P183" s="678"/>
      <c r="Q183" s="678"/>
      <c r="R183" s="678"/>
      <c r="S183" s="678"/>
      <c r="T183" s="678"/>
      <c r="U183" s="678"/>
      <c r="V183" s="678"/>
      <c r="W183" s="678"/>
      <c r="X183" s="679"/>
      <c r="Y183" s="650" t="str">
        <f>IF(B178="","",VLOOKUP(E183,$E$347:$AA$420,21,FALSE))</f>
        <v/>
      </c>
      <c r="Z183" s="651"/>
      <c r="AA183" s="652"/>
    </row>
    <row r="184" spans="2:27" s="9" customFormat="1" ht="17.25" customHeight="1" x14ac:dyDescent="0.15">
      <c r="B184" s="564"/>
      <c r="C184" s="349"/>
      <c r="D184" s="565"/>
      <c r="E184" s="70" t="str">
        <f>B178&amp;2</f>
        <v>2</v>
      </c>
      <c r="F184" s="673"/>
      <c r="G184" s="674"/>
      <c r="H184" s="674"/>
      <c r="I184" s="680" t="str">
        <f>IF(B178="","10～14年前採用者の　　　　　〃　　　　（イ～エの平均）","〔"&amp;S16&amp;"～"&amp;T20&amp;"採用者〕の　　　　　〃　　　　（イ～エの平均）")</f>
        <v>10～14年前採用者の　　　　　〃　　　　（イ～エの平均）</v>
      </c>
      <c r="J184" s="681"/>
      <c r="K184" s="681"/>
      <c r="L184" s="681"/>
      <c r="M184" s="681"/>
      <c r="N184" s="681"/>
      <c r="O184" s="681"/>
      <c r="P184" s="681"/>
      <c r="Q184" s="681"/>
      <c r="R184" s="681"/>
      <c r="S184" s="681"/>
      <c r="T184" s="681"/>
      <c r="U184" s="681"/>
      <c r="V184" s="681"/>
      <c r="W184" s="681"/>
      <c r="X184" s="682"/>
      <c r="Y184" s="653" t="str">
        <f>IF(B178="","",VLOOKUP(E184,$E$347:$AA$420,21,FALSE))</f>
        <v/>
      </c>
      <c r="Z184" s="654"/>
      <c r="AA184" s="655"/>
    </row>
    <row r="185" spans="2:27" s="9" customFormat="1" ht="17.25" customHeight="1" thickBot="1" x14ac:dyDescent="0.2">
      <c r="B185" s="566"/>
      <c r="C185" s="567"/>
      <c r="D185" s="568"/>
      <c r="E185" s="103" t="str">
        <f>B178&amp;3</f>
        <v>3</v>
      </c>
      <c r="F185" s="675"/>
      <c r="G185" s="676"/>
      <c r="H185" s="676"/>
      <c r="I185" s="683" t="str">
        <f>IF(B178="","11～15年前採用者の　　　　　〃　　　　（ウ～オの平均）","〔"&amp;S17&amp;"～"&amp;T21&amp;"採用者〕の　　　　　〃　　　　（ウ～オの平均）")</f>
        <v>11～15年前採用者の　　　　　〃　　　　（ウ～オの平均）</v>
      </c>
      <c r="J185" s="684"/>
      <c r="K185" s="684"/>
      <c r="L185" s="684"/>
      <c r="M185" s="684"/>
      <c r="N185" s="684"/>
      <c r="O185" s="684"/>
      <c r="P185" s="684"/>
      <c r="Q185" s="684"/>
      <c r="R185" s="684"/>
      <c r="S185" s="684"/>
      <c r="T185" s="684"/>
      <c r="U185" s="684"/>
      <c r="V185" s="684"/>
      <c r="W185" s="684"/>
      <c r="X185" s="685"/>
      <c r="Y185" s="656" t="str">
        <f>IF(B178="","",VLOOKUP(E185,$E$347:$AA$420,21,FALSE))</f>
        <v/>
      </c>
      <c r="Z185" s="657"/>
      <c r="AA185" s="658"/>
    </row>
    <row r="186" spans="2:27" s="9" customFormat="1" ht="17.25" customHeight="1" x14ac:dyDescent="0.15">
      <c r="B186" s="564"/>
      <c r="C186" s="349"/>
      <c r="D186" s="565"/>
      <c r="E186" s="28" t="str">
        <f>IF(B186="","",B186&amp;F$154)</f>
        <v/>
      </c>
      <c r="F186" s="659" t="str">
        <f>IF(B186=""," 9～11年前採用者の10年後継続雇用割合の男女比　　　　　　　　　 上記ア","〔"&amp;S15&amp;"～"&amp;T17&amp;"採用者〕の"&amp;O16&amp;"における継続雇用割合の男女比（上記ア）")</f>
        <v xml:space="preserve"> 9～11年前採用者の10年後継続雇用割合の男女比　　　　　　　　　 上記ア</v>
      </c>
      <c r="G186" s="660"/>
      <c r="H186" s="660"/>
      <c r="I186" s="660"/>
      <c r="J186" s="660"/>
      <c r="K186" s="660"/>
      <c r="L186" s="660"/>
      <c r="M186" s="660"/>
      <c r="N186" s="660"/>
      <c r="O186" s="660"/>
      <c r="P186" s="660"/>
      <c r="Q186" s="660"/>
      <c r="R186" s="660"/>
      <c r="S186" s="660"/>
      <c r="T186" s="660"/>
      <c r="U186" s="660"/>
      <c r="V186" s="660"/>
      <c r="W186" s="660"/>
      <c r="X186" s="661"/>
      <c r="Y186" s="662" t="str">
        <f>IF(B186="","",VLOOKUP(E186,E$153:Y$164,19,FALSE))</f>
        <v/>
      </c>
      <c r="Z186" s="663"/>
      <c r="AA186" s="664"/>
    </row>
    <row r="187" spans="2:27" s="9" customFormat="1" ht="17.25" customHeight="1" x14ac:dyDescent="0.15">
      <c r="B187" s="564"/>
      <c r="C187" s="349"/>
      <c r="D187" s="565"/>
      <c r="E187" s="28" t="str">
        <f>IF(B186="","",B186&amp;DATE(YEAR($I$27)-11,MONTH($I$27),DAY($I$27))&amp;"その2")</f>
        <v/>
      </c>
      <c r="F187" s="665" t="str">
        <f>IF(B186="","10～12年前採用者の　　　　　　〃　　　　　　（アの1年ずつ前）　別紙イ","〔"&amp;S16&amp;"～"&amp;T18&amp;"採用者〕の"&amp;O17&amp;"における　　　　　〃　　　　　別紙イ")</f>
        <v>10～12年前採用者の　　　　　　〃　　　　　　（アの1年ずつ前）　別紙イ</v>
      </c>
      <c r="G187" s="666"/>
      <c r="H187" s="666"/>
      <c r="I187" s="666"/>
      <c r="J187" s="666"/>
      <c r="K187" s="666"/>
      <c r="L187" s="666"/>
      <c r="M187" s="666"/>
      <c r="N187" s="666"/>
      <c r="O187" s="666"/>
      <c r="P187" s="666"/>
      <c r="Q187" s="666"/>
      <c r="R187" s="666"/>
      <c r="S187" s="666"/>
      <c r="T187" s="666"/>
      <c r="U187" s="666"/>
      <c r="V187" s="666"/>
      <c r="W187" s="666"/>
      <c r="X187" s="667"/>
      <c r="Y187" s="653" t="str">
        <f>IF(B186="","",VLOOKUP(E187,$E$347:$AA$420,21,FALSE))</f>
        <v/>
      </c>
      <c r="Z187" s="654"/>
      <c r="AA187" s="668"/>
    </row>
    <row r="188" spans="2:27" s="9" customFormat="1" ht="17.25" customHeight="1" x14ac:dyDescent="0.15">
      <c r="B188" s="564"/>
      <c r="C188" s="349"/>
      <c r="D188" s="565"/>
      <c r="E188" s="28" t="str">
        <f>IF(B186="","",B186&amp;DATE(YEAR($I$27)-12,MONTH($I$27),DAY($I$27)))</f>
        <v/>
      </c>
      <c r="F188" s="665" t="str">
        <f>IF(B186="","11～13年前採用者の　　　　　　〃　　　　　　（アの2年ずつ前）　別紙ウ","〔"&amp;S17&amp;"～"&amp;T19&amp;"採用者〕の"&amp;O18&amp;"における　　　　　〃　　　　　別紙ウ")</f>
        <v>11～13年前採用者の　　　　　　〃　　　　　　（アの2年ずつ前）　別紙ウ</v>
      </c>
      <c r="G188" s="666"/>
      <c r="H188" s="666"/>
      <c r="I188" s="666"/>
      <c r="J188" s="666"/>
      <c r="K188" s="666"/>
      <c r="L188" s="666"/>
      <c r="M188" s="666"/>
      <c r="N188" s="666"/>
      <c r="O188" s="666"/>
      <c r="P188" s="666"/>
      <c r="Q188" s="666"/>
      <c r="R188" s="666"/>
      <c r="S188" s="666"/>
      <c r="T188" s="666"/>
      <c r="U188" s="666"/>
      <c r="V188" s="666"/>
      <c r="W188" s="666"/>
      <c r="X188" s="667"/>
      <c r="Y188" s="653" t="str">
        <f>IF(B186="","",VLOOKUP(E188,$E$347:$AA$420,21,FALSE))</f>
        <v/>
      </c>
      <c r="Z188" s="654"/>
      <c r="AA188" s="668"/>
    </row>
    <row r="189" spans="2:27" s="9" customFormat="1" ht="17.25" customHeight="1" x14ac:dyDescent="0.15">
      <c r="B189" s="564"/>
      <c r="C189" s="349"/>
      <c r="D189" s="565"/>
      <c r="E189" s="28" t="str">
        <f>IF(B186="","",B186&amp;DATE(YEAR($I$27)-13,MONTH($I$27),DAY($I$27)))</f>
        <v/>
      </c>
      <c r="F189" s="665" t="str">
        <f>IF(B186="","12～14年前採用者の　　　　　　〃　　　　　　（アの3年ずつ前）　別紙エ","〔"&amp;S18&amp;"～"&amp;T20&amp;"採用者〕の"&amp;O19&amp;"における　　　　　〃　　　　　別紙エ")</f>
        <v>12～14年前採用者の　　　　　　〃　　　　　　（アの3年ずつ前）　別紙エ</v>
      </c>
      <c r="G189" s="666"/>
      <c r="H189" s="666"/>
      <c r="I189" s="666"/>
      <c r="J189" s="666"/>
      <c r="K189" s="666"/>
      <c r="L189" s="666"/>
      <c r="M189" s="666"/>
      <c r="N189" s="666"/>
      <c r="O189" s="666"/>
      <c r="P189" s="666"/>
      <c r="Q189" s="666"/>
      <c r="R189" s="666"/>
      <c r="S189" s="666"/>
      <c r="T189" s="666"/>
      <c r="U189" s="666"/>
      <c r="V189" s="666"/>
      <c r="W189" s="666"/>
      <c r="X189" s="667"/>
      <c r="Y189" s="653" t="str">
        <f>IF(B186="","",VLOOKUP(E189,$E$347:$AA$420,21,FALSE))</f>
        <v/>
      </c>
      <c r="Z189" s="654"/>
      <c r="AA189" s="668"/>
    </row>
    <row r="190" spans="2:27" s="9" customFormat="1" ht="17.25" customHeight="1" thickBot="1" x14ac:dyDescent="0.2">
      <c r="B190" s="564"/>
      <c r="C190" s="349"/>
      <c r="D190" s="565"/>
      <c r="E190" s="28" t="str">
        <f>IF(B186="","",B186&amp;DATE(YEAR($I$27)-14,MONTH($I$27),DAY($I$27)))</f>
        <v/>
      </c>
      <c r="F190" s="665" t="str">
        <f>IF(B186="","13～15年前採用者の　　　　　　〃　　　　　　（アの4年ずつ前）　別紙オ","〔"&amp;S19&amp;"～"&amp;T21&amp;"採用者〕の"&amp;O20&amp;"における　　　　　〃　　　　　別紙オ")</f>
        <v>13～15年前採用者の　　　　　　〃　　　　　　（アの4年ずつ前）　別紙オ</v>
      </c>
      <c r="G190" s="666"/>
      <c r="H190" s="666"/>
      <c r="I190" s="669"/>
      <c r="J190" s="669"/>
      <c r="K190" s="669"/>
      <c r="L190" s="669"/>
      <c r="M190" s="669"/>
      <c r="N190" s="669"/>
      <c r="O190" s="669"/>
      <c r="P190" s="669"/>
      <c r="Q190" s="669"/>
      <c r="R190" s="669"/>
      <c r="S190" s="669"/>
      <c r="T190" s="669"/>
      <c r="U190" s="669"/>
      <c r="V190" s="669"/>
      <c r="W190" s="669"/>
      <c r="X190" s="670"/>
      <c r="Y190" s="647" t="str">
        <f>IF(B186="","",VLOOKUP(E190,$E$347:$AA$420,21,FALSE))</f>
        <v/>
      </c>
      <c r="Z190" s="648"/>
      <c r="AA190" s="649"/>
    </row>
    <row r="191" spans="2:27" s="9" customFormat="1" ht="17.25" customHeight="1" x14ac:dyDescent="0.15">
      <c r="B191" s="564"/>
      <c r="C191" s="349"/>
      <c r="D191" s="565"/>
      <c r="E191" s="70" t="str">
        <f>B186&amp;1</f>
        <v>1</v>
      </c>
      <c r="F191" s="671"/>
      <c r="G191" s="672"/>
      <c r="H191" s="672"/>
      <c r="I191" s="677" t="str">
        <f>IF(B186=""," 9～13年前採用者の３事業年度ごとの平均（ア～ウの平均）","〔"&amp;S15&amp;"～"&amp;T19&amp;"採用者〕の３事業年度ごとの平均（ア～ウの平均）")</f>
        <v xml:space="preserve"> 9～13年前採用者の３事業年度ごとの平均（ア～ウの平均）</v>
      </c>
      <c r="J191" s="678"/>
      <c r="K191" s="678"/>
      <c r="L191" s="678"/>
      <c r="M191" s="678"/>
      <c r="N191" s="678"/>
      <c r="O191" s="678"/>
      <c r="P191" s="678"/>
      <c r="Q191" s="678"/>
      <c r="R191" s="678"/>
      <c r="S191" s="678"/>
      <c r="T191" s="678"/>
      <c r="U191" s="678"/>
      <c r="V191" s="678"/>
      <c r="W191" s="678"/>
      <c r="X191" s="679"/>
      <c r="Y191" s="650" t="str">
        <f>IF(B186="","",VLOOKUP(E191,$E$347:$AA$420,21,FALSE))</f>
        <v/>
      </c>
      <c r="Z191" s="651"/>
      <c r="AA191" s="652"/>
    </row>
    <row r="192" spans="2:27" s="9" customFormat="1" ht="17.25" customHeight="1" x14ac:dyDescent="0.15">
      <c r="B192" s="564"/>
      <c r="C192" s="349"/>
      <c r="D192" s="565"/>
      <c r="E192" s="70" t="str">
        <f>B186&amp;2</f>
        <v>2</v>
      </c>
      <c r="F192" s="673"/>
      <c r="G192" s="674"/>
      <c r="H192" s="674"/>
      <c r="I192" s="680" t="str">
        <f>IF(B186="","10～14年前採用者の　　　　　〃　　　　（イ～エの平均）","〔"&amp;S16&amp;"～"&amp;T20&amp;"採用者〕の　　　　　〃　　　　（イ～エの平均）")</f>
        <v>10～14年前採用者の　　　　　〃　　　　（イ～エの平均）</v>
      </c>
      <c r="J192" s="681"/>
      <c r="K192" s="681"/>
      <c r="L192" s="681"/>
      <c r="M192" s="681"/>
      <c r="N192" s="681"/>
      <c r="O192" s="681"/>
      <c r="P192" s="681"/>
      <c r="Q192" s="681"/>
      <c r="R192" s="681"/>
      <c r="S192" s="681"/>
      <c r="T192" s="681"/>
      <c r="U192" s="681"/>
      <c r="V192" s="681"/>
      <c r="W192" s="681"/>
      <c r="X192" s="682"/>
      <c r="Y192" s="653" t="str">
        <f>IF(B186="","",VLOOKUP(E192,$E$347:$AA$420,21,FALSE))</f>
        <v/>
      </c>
      <c r="Z192" s="654"/>
      <c r="AA192" s="655"/>
    </row>
    <row r="193" spans="2:27" s="9" customFormat="1" ht="17.25" customHeight="1" thickBot="1" x14ac:dyDescent="0.2">
      <c r="B193" s="566"/>
      <c r="C193" s="567"/>
      <c r="D193" s="568"/>
      <c r="E193" s="103" t="str">
        <f>B186&amp;3</f>
        <v>3</v>
      </c>
      <c r="F193" s="675"/>
      <c r="G193" s="676"/>
      <c r="H193" s="676"/>
      <c r="I193" s="683" t="str">
        <f>IF(B186="","11～15年前採用者の　　　　　〃　　　　（ウ～オの平均）","〔"&amp;S17&amp;"～"&amp;T21&amp;"採用者〕の　　　　　〃　　　　（ウ～オの平均）")</f>
        <v>11～15年前採用者の　　　　　〃　　　　（ウ～オの平均）</v>
      </c>
      <c r="J193" s="684"/>
      <c r="K193" s="684"/>
      <c r="L193" s="684"/>
      <c r="M193" s="684"/>
      <c r="N193" s="684"/>
      <c r="O193" s="684"/>
      <c r="P193" s="684"/>
      <c r="Q193" s="684"/>
      <c r="R193" s="684"/>
      <c r="S193" s="684"/>
      <c r="T193" s="684"/>
      <c r="U193" s="684"/>
      <c r="V193" s="684"/>
      <c r="W193" s="684"/>
      <c r="X193" s="685"/>
      <c r="Y193" s="656" t="str">
        <f>IF(B186="","",VLOOKUP(E193,$E$347:$AA$420,21,FALSE))</f>
        <v/>
      </c>
      <c r="Z193" s="657"/>
      <c r="AA193" s="658"/>
    </row>
    <row r="194" spans="2:27" s="9" customFormat="1" ht="17.25" customHeight="1" x14ac:dyDescent="0.15">
      <c r="B194" s="61"/>
      <c r="C194" s="61"/>
      <c r="D194" s="61"/>
      <c r="E194" s="93"/>
      <c r="F194" s="93"/>
      <c r="G194" s="93"/>
      <c r="H194" s="93"/>
      <c r="I194" s="19"/>
      <c r="J194" s="19"/>
      <c r="K194" s="19"/>
      <c r="L194" s="19"/>
      <c r="M194" s="19"/>
      <c r="N194" s="96"/>
      <c r="O194" s="96"/>
      <c r="P194" s="19"/>
      <c r="Q194" s="19"/>
      <c r="R194" s="19"/>
      <c r="S194" s="19"/>
      <c r="T194" s="19"/>
      <c r="U194" s="96"/>
      <c r="V194" s="96"/>
      <c r="W194" s="95"/>
      <c r="X194" s="95"/>
      <c r="Y194" s="95"/>
      <c r="Z194" s="1"/>
      <c r="AA194" s="1"/>
    </row>
    <row r="195" spans="2:27" ht="17.25" customHeight="1" x14ac:dyDescent="0.15">
      <c r="B195" s="1" t="s">
        <v>157</v>
      </c>
      <c r="AA195" s="169" t="str">
        <f>IF(G$23="","",G$23)</f>
        <v/>
      </c>
    </row>
    <row r="196" spans="2:27" s="9" customFormat="1" ht="17.25" customHeight="1" x14ac:dyDescent="0.15">
      <c r="E196" s="25"/>
    </row>
    <row r="197" spans="2:27" ht="17.25" customHeight="1" thickBot="1" x14ac:dyDescent="0.2">
      <c r="B197" s="17" t="s">
        <v>131</v>
      </c>
    </row>
    <row r="198" spans="2:27" s="9" customFormat="1" ht="47.25" customHeight="1" thickTop="1" x14ac:dyDescent="0.15">
      <c r="B198" s="637" t="s">
        <v>5</v>
      </c>
      <c r="C198" s="638"/>
      <c r="D198" s="638"/>
      <c r="E198" s="638"/>
      <c r="F198" s="638"/>
      <c r="G198" s="601" t="s">
        <v>39</v>
      </c>
      <c r="H198" s="639"/>
      <c r="I198" s="639"/>
      <c r="J198" s="639"/>
      <c r="K198" s="640"/>
      <c r="L198" s="478" t="s">
        <v>236</v>
      </c>
      <c r="M198" s="779"/>
      <c r="N198" s="779"/>
      <c r="O198" s="779"/>
      <c r="P198" s="779"/>
      <c r="Q198" s="780"/>
      <c r="R198" s="601" t="s">
        <v>35</v>
      </c>
      <c r="S198" s="640"/>
      <c r="T198" s="64"/>
      <c r="U198" s="64"/>
      <c r="V198" s="64"/>
      <c r="W198" s="64"/>
      <c r="X198" s="64"/>
      <c r="Y198" s="64"/>
    </row>
    <row r="199" spans="2:27" s="9" customFormat="1" ht="17.25" customHeight="1" x14ac:dyDescent="0.15">
      <c r="B199" s="974" t="str">
        <f>IF($I$27="","",$I$27)</f>
        <v/>
      </c>
      <c r="C199" s="975"/>
      <c r="D199" s="975"/>
      <c r="E199" s="975"/>
      <c r="F199" s="975"/>
      <c r="G199" s="641"/>
      <c r="H199" s="642"/>
      <c r="I199" s="642"/>
      <c r="J199" s="642"/>
      <c r="K199" s="643"/>
      <c r="L199" s="815" t="str">
        <f>IF(B199="","",IF(R26="",R25,R26))</f>
        <v/>
      </c>
      <c r="M199" s="816"/>
      <c r="N199" s="816"/>
      <c r="O199" s="816"/>
      <c r="P199" s="816"/>
      <c r="Q199" s="817"/>
      <c r="R199" s="421"/>
      <c r="S199" s="422"/>
      <c r="T199" s="937" t="str">
        <f>IF(G23="","",IF(OR(L199="",L200=""),"←Ｂ欄上段に産業分類（製造業は中分類）を、下段に産業平均値を記載",""))</f>
        <v/>
      </c>
      <c r="U199" s="937"/>
      <c r="V199" s="937"/>
      <c r="W199" s="937"/>
      <c r="X199" s="937"/>
      <c r="Y199" s="937"/>
      <c r="Z199" s="937"/>
      <c r="AA199" s="937"/>
    </row>
    <row r="200" spans="2:27" s="9" customFormat="1" ht="17.25" customHeight="1" thickBot="1" x14ac:dyDescent="0.2">
      <c r="B200" s="977"/>
      <c r="C200" s="978"/>
      <c r="D200" s="978"/>
      <c r="E200" s="978"/>
      <c r="F200" s="978"/>
      <c r="G200" s="644"/>
      <c r="H200" s="645"/>
      <c r="I200" s="645"/>
      <c r="J200" s="645"/>
      <c r="K200" s="646"/>
      <c r="L200" s="933"/>
      <c r="M200" s="934"/>
      <c r="N200" s="934"/>
      <c r="O200" s="934"/>
      <c r="P200" s="934"/>
      <c r="Q200" s="935"/>
      <c r="R200" s="425"/>
      <c r="S200" s="426"/>
      <c r="T200" s="937"/>
      <c r="U200" s="937"/>
      <c r="V200" s="937"/>
      <c r="W200" s="937"/>
      <c r="X200" s="937"/>
      <c r="Y200" s="937"/>
      <c r="Z200" s="937"/>
      <c r="AA200" s="937"/>
    </row>
    <row r="201" spans="2:27" ht="17.25" customHeight="1" thickTop="1" x14ac:dyDescent="0.15">
      <c r="S201" s="35" t="str">
        <f>IF(G23="","",IF(R199="","リストから選択↑　",""))</f>
        <v/>
      </c>
    </row>
    <row r="202" spans="2:27" ht="17.25" customHeight="1" x14ac:dyDescent="0.15">
      <c r="B202" s="9" t="s">
        <v>214</v>
      </c>
      <c r="L202" s="10"/>
    </row>
    <row r="203" spans="2:27" s="9" customFormat="1" ht="47.25" customHeight="1" x14ac:dyDescent="0.15">
      <c r="B203" s="409" t="s">
        <v>185</v>
      </c>
      <c r="C203" s="410"/>
      <c r="D203" s="410"/>
      <c r="E203" s="410"/>
      <c r="F203" s="411"/>
      <c r="G203" s="409" t="s">
        <v>186</v>
      </c>
      <c r="H203" s="410"/>
      <c r="I203" s="410"/>
      <c r="J203" s="410"/>
      <c r="K203" s="411"/>
      <c r="L203" s="10"/>
    </row>
    <row r="204" spans="2:27" s="3" customFormat="1" ht="17.25" customHeight="1" x14ac:dyDescent="0.15">
      <c r="B204" s="980" t="str">
        <f>IF($R$199="非該当",DATE(YEAR($I$27)-1,MONTH($I$27),DAY($I$27)),"")</f>
        <v/>
      </c>
      <c r="C204" s="981"/>
      <c r="D204" s="981"/>
      <c r="E204" s="981"/>
      <c r="F204" s="982"/>
      <c r="G204" s="631"/>
      <c r="H204" s="632"/>
      <c r="I204" s="632"/>
      <c r="J204" s="632"/>
      <c r="K204" s="633"/>
      <c r="L204" s="920" t="s">
        <v>187</v>
      </c>
      <c r="M204" s="921"/>
      <c r="N204" s="921"/>
      <c r="O204" s="921"/>
      <c r="P204" s="921"/>
      <c r="Q204" s="921"/>
      <c r="R204" s="921"/>
      <c r="S204" s="922"/>
    </row>
    <row r="205" spans="2:27" s="3" customFormat="1" ht="17.25" customHeight="1" x14ac:dyDescent="0.15">
      <c r="B205" s="980" t="str">
        <f>IF($R$199="非該当",DATE(YEAR($I$27)-2,MONTH($I$27),DAY($I$27)),"")</f>
        <v/>
      </c>
      <c r="C205" s="981"/>
      <c r="D205" s="981"/>
      <c r="E205" s="981"/>
      <c r="F205" s="982"/>
      <c r="G205" s="631"/>
      <c r="H205" s="632"/>
      <c r="I205" s="632"/>
      <c r="J205" s="632"/>
      <c r="K205" s="633"/>
      <c r="L205" s="468" t="str">
        <f>IF(B205="","～",P16&amp;"～"&amp;Q18)</f>
        <v>～</v>
      </c>
      <c r="M205" s="469"/>
      <c r="N205" s="469"/>
      <c r="O205" s="470"/>
      <c r="P205" s="634" t="str">
        <f>IF(B205="","",ROUND(AVERAGE(G199,G204,G205),1))</f>
        <v/>
      </c>
      <c r="Q205" s="635"/>
      <c r="R205" s="635"/>
      <c r="S205" s="636"/>
      <c r="T205" s="42"/>
      <c r="V205" s="42"/>
      <c r="W205" s="42"/>
      <c r="Z205" s="42"/>
      <c r="AA205" s="42"/>
    </row>
    <row r="206" spans="2:27" s="3" customFormat="1" ht="17.25" customHeight="1" x14ac:dyDescent="0.15">
      <c r="B206" s="980" t="str">
        <f>IF($R$199="非該当",DATE(YEAR($I$27)-3,MONTH($I$27),DAY($I$27)),"")</f>
        <v/>
      </c>
      <c r="C206" s="981"/>
      <c r="D206" s="981"/>
      <c r="E206" s="981"/>
      <c r="F206" s="982"/>
      <c r="G206" s="631"/>
      <c r="H206" s="632"/>
      <c r="I206" s="632"/>
      <c r="J206" s="632"/>
      <c r="K206" s="633"/>
      <c r="L206" s="468" t="str">
        <f>IF(B206="","～",P17&amp;"～"&amp;Q19)</f>
        <v>～</v>
      </c>
      <c r="M206" s="469"/>
      <c r="N206" s="469"/>
      <c r="O206" s="470"/>
      <c r="P206" s="634" t="str">
        <f>IF(B206="","",ROUND(AVERAGE(G204,G205,G206),1))</f>
        <v/>
      </c>
      <c r="Q206" s="635"/>
      <c r="R206" s="635"/>
      <c r="S206" s="636"/>
      <c r="T206" s="42"/>
      <c r="V206" s="42"/>
      <c r="W206" s="42"/>
      <c r="Z206" s="42"/>
      <c r="AA206" s="42"/>
    </row>
    <row r="207" spans="2:27" s="3" customFormat="1" ht="17.25" customHeight="1" x14ac:dyDescent="0.15">
      <c r="B207" s="980" t="str">
        <f>IF($R$199="非該当",DATE(YEAR($I$27)-4,MONTH($I$27),DAY($I$27)),"")</f>
        <v/>
      </c>
      <c r="C207" s="981"/>
      <c r="D207" s="981"/>
      <c r="E207" s="981"/>
      <c r="F207" s="982"/>
      <c r="G207" s="631"/>
      <c r="H207" s="632"/>
      <c r="I207" s="632"/>
      <c r="J207" s="632"/>
      <c r="K207" s="633"/>
      <c r="L207" s="468" t="str">
        <f>IF(B207="","～",P18&amp;"～"&amp;Q20)</f>
        <v>～</v>
      </c>
      <c r="M207" s="469"/>
      <c r="N207" s="469"/>
      <c r="O207" s="470"/>
      <c r="P207" s="634" t="str">
        <f>IF(B207="","",ROUND(AVERAGE(G205,G206,G207),1))</f>
        <v/>
      </c>
      <c r="Q207" s="635"/>
      <c r="R207" s="635"/>
      <c r="S207" s="636"/>
      <c r="T207" s="42"/>
      <c r="V207" s="42"/>
      <c r="W207" s="42"/>
      <c r="X207" s="42"/>
      <c r="Y207" s="42"/>
      <c r="Z207" s="42"/>
      <c r="AA207" s="42"/>
    </row>
    <row r="208" spans="2:27" s="43" customFormat="1" ht="17.25" customHeight="1" x14ac:dyDescent="0.15">
      <c r="E208" s="20"/>
      <c r="L208" s="79"/>
    </row>
    <row r="209" spans="2:27" ht="30.75" customHeight="1" x14ac:dyDescent="0.15">
      <c r="B209" s="2" t="s">
        <v>158</v>
      </c>
      <c r="H209" s="2"/>
      <c r="AA209" s="169" t="str">
        <f>IF(G$23="","",G$23)</f>
        <v/>
      </c>
    </row>
    <row r="210" spans="2:27" s="3" customFormat="1" ht="17.25" customHeight="1" x14ac:dyDescent="0.15">
      <c r="B210" s="372" t="s">
        <v>149</v>
      </c>
      <c r="C210" s="373"/>
      <c r="D210" s="373"/>
      <c r="E210" s="373"/>
      <c r="F210" s="373"/>
      <c r="G210" s="373"/>
      <c r="H210" s="373"/>
      <c r="I210" s="373"/>
      <c r="J210" s="373"/>
      <c r="K210" s="373"/>
      <c r="L210" s="373"/>
      <c r="M210" s="373"/>
      <c r="N210" s="373"/>
      <c r="O210" s="373"/>
      <c r="P210" s="373"/>
      <c r="Q210" s="373"/>
      <c r="R210" s="373"/>
      <c r="S210" s="373"/>
      <c r="T210" s="373"/>
      <c r="U210" s="373"/>
      <c r="V210" s="373"/>
      <c r="W210" s="373"/>
      <c r="X210" s="373"/>
      <c r="Y210" s="373"/>
      <c r="Z210" s="373"/>
      <c r="AA210" s="374"/>
    </row>
    <row r="211" spans="2:27" s="13" customFormat="1" ht="27" customHeight="1" x14ac:dyDescent="0.15">
      <c r="B211" s="354" t="s">
        <v>16</v>
      </c>
      <c r="C211" s="355"/>
      <c r="D211" s="355"/>
      <c r="E211" s="355"/>
      <c r="F211" s="355"/>
      <c r="G211" s="355"/>
      <c r="H211" s="355"/>
      <c r="I211" s="355"/>
      <c r="J211" s="355"/>
      <c r="K211" s="355"/>
      <c r="L211" s="355"/>
      <c r="M211" s="355"/>
      <c r="N211" s="355"/>
      <c r="O211" s="355"/>
      <c r="P211" s="355"/>
      <c r="Q211" s="355"/>
      <c r="R211" s="355"/>
      <c r="S211" s="355"/>
      <c r="T211" s="355"/>
      <c r="U211" s="355"/>
      <c r="V211" s="355"/>
      <c r="W211" s="355"/>
      <c r="X211" s="355"/>
      <c r="Y211" s="355"/>
      <c r="Z211" s="355"/>
      <c r="AA211" s="356"/>
    </row>
    <row r="212" spans="2:27" s="13" customFormat="1" ht="27" customHeight="1" x14ac:dyDescent="0.15">
      <c r="B212" s="357" t="s">
        <v>17</v>
      </c>
      <c r="C212" s="509"/>
      <c r="D212" s="509"/>
      <c r="E212" s="509"/>
      <c r="F212" s="509"/>
      <c r="G212" s="509"/>
      <c r="H212" s="509"/>
      <c r="I212" s="509"/>
      <c r="J212" s="509"/>
      <c r="K212" s="509"/>
      <c r="L212" s="509"/>
      <c r="M212" s="509"/>
      <c r="N212" s="509"/>
      <c r="O212" s="509"/>
      <c r="P212" s="509"/>
      <c r="Q212" s="509"/>
      <c r="R212" s="509"/>
      <c r="S212" s="509"/>
      <c r="T212" s="509"/>
      <c r="U212" s="509"/>
      <c r="V212" s="509"/>
      <c r="W212" s="509"/>
      <c r="X212" s="509"/>
      <c r="Y212" s="509"/>
      <c r="Z212" s="509"/>
      <c r="AA212" s="510"/>
    </row>
    <row r="213" spans="2:27" s="13" customFormat="1" ht="17.25" customHeight="1" x14ac:dyDescent="0.15">
      <c r="B213" s="357" t="s">
        <v>18</v>
      </c>
      <c r="C213" s="509"/>
      <c r="D213" s="509"/>
      <c r="E213" s="509"/>
      <c r="F213" s="509"/>
      <c r="G213" s="509"/>
      <c r="H213" s="509"/>
      <c r="I213" s="509"/>
      <c r="J213" s="509"/>
      <c r="K213" s="509"/>
      <c r="L213" s="509"/>
      <c r="M213" s="509"/>
      <c r="N213" s="509"/>
      <c r="O213" s="509"/>
      <c r="P213" s="509"/>
      <c r="Q213" s="509"/>
      <c r="R213" s="509"/>
      <c r="S213" s="509"/>
      <c r="T213" s="509"/>
      <c r="U213" s="509"/>
      <c r="V213" s="509"/>
      <c r="W213" s="509"/>
      <c r="X213" s="509"/>
      <c r="Y213" s="509"/>
      <c r="Z213" s="509"/>
      <c r="AA213" s="510"/>
    </row>
    <row r="214" spans="2:27" s="13" customFormat="1" ht="27" customHeight="1" x14ac:dyDescent="0.15">
      <c r="B214" s="360" t="s">
        <v>90</v>
      </c>
      <c r="C214" s="511"/>
      <c r="D214" s="511"/>
      <c r="E214" s="511"/>
      <c r="F214" s="511"/>
      <c r="G214" s="511"/>
      <c r="H214" s="511"/>
      <c r="I214" s="511"/>
      <c r="J214" s="511"/>
      <c r="K214" s="511"/>
      <c r="L214" s="511"/>
      <c r="M214" s="511"/>
      <c r="N214" s="511"/>
      <c r="O214" s="511"/>
      <c r="P214" s="511"/>
      <c r="Q214" s="511"/>
      <c r="R214" s="511"/>
      <c r="S214" s="511"/>
      <c r="T214" s="511"/>
      <c r="U214" s="511"/>
      <c r="V214" s="511"/>
      <c r="W214" s="511"/>
      <c r="X214" s="511"/>
      <c r="Y214" s="511"/>
      <c r="Z214" s="511"/>
      <c r="AA214" s="512"/>
    </row>
    <row r="215" spans="2:27" ht="17.25" customHeight="1" x14ac:dyDescent="0.15"/>
    <row r="216" spans="2:27" ht="17.25" customHeight="1" x14ac:dyDescent="0.15">
      <c r="B216" s="18" t="s">
        <v>22</v>
      </c>
    </row>
    <row r="217" spans="2:27" ht="16.5" customHeight="1" thickBot="1" x14ac:dyDescent="0.2">
      <c r="C217" s="102" t="s">
        <v>245</v>
      </c>
      <c r="D217" s="102"/>
      <c r="E217" s="102"/>
      <c r="F217" s="102"/>
      <c r="G217" s="102"/>
      <c r="H217" s="102"/>
      <c r="I217" s="102"/>
      <c r="J217" s="102"/>
      <c r="K217" s="102"/>
      <c r="L217" s="102"/>
      <c r="M217" s="102"/>
      <c r="N217" s="102"/>
      <c r="O217" s="102"/>
      <c r="P217" s="102"/>
      <c r="Q217" s="102"/>
      <c r="R217" s="102"/>
      <c r="S217" s="102"/>
      <c r="T217" s="102"/>
      <c r="U217" s="102"/>
      <c r="V217" s="102"/>
      <c r="W217" s="102"/>
      <c r="X217" s="102"/>
      <c r="Y217" s="102"/>
      <c r="Z217" s="102"/>
      <c r="AA217" s="102"/>
    </row>
    <row r="218" spans="2:27" s="9" customFormat="1" ht="54" customHeight="1" thickTop="1" thickBot="1" x14ac:dyDescent="0.2">
      <c r="B218" s="366" t="s">
        <v>0</v>
      </c>
      <c r="C218" s="367"/>
      <c r="D218" s="368"/>
      <c r="E218" s="93"/>
      <c r="F218" s="366" t="s">
        <v>19</v>
      </c>
      <c r="G218" s="367"/>
      <c r="H218" s="368"/>
      <c r="I218" s="409" t="s">
        <v>215</v>
      </c>
      <c r="J218" s="410"/>
      <c r="K218" s="411"/>
      <c r="L218" s="409" t="s">
        <v>216</v>
      </c>
      <c r="M218" s="367"/>
      <c r="N218" s="601" t="s">
        <v>217</v>
      </c>
      <c r="O218" s="602"/>
      <c r="P218" s="367" t="s">
        <v>19</v>
      </c>
      <c r="Q218" s="367"/>
      <c r="R218" s="368"/>
      <c r="S218" s="409" t="s">
        <v>215</v>
      </c>
      <c r="T218" s="410"/>
      <c r="U218" s="411"/>
      <c r="V218" s="409" t="s">
        <v>216</v>
      </c>
      <c r="W218" s="367"/>
      <c r="X218" s="601" t="s">
        <v>217</v>
      </c>
      <c r="Y218" s="602"/>
      <c r="Z218" s="629" t="s">
        <v>197</v>
      </c>
      <c r="AA218" s="630"/>
    </row>
    <row r="219" spans="2:27" ht="17.25" customHeight="1" thickTop="1" thickBot="1" x14ac:dyDescent="0.2">
      <c r="B219" s="612"/>
      <c r="C219" s="613"/>
      <c r="D219" s="614"/>
      <c r="E219" s="24"/>
      <c r="F219" s="1004" t="str">
        <f>IF($B219="","　　年　月",DATE(YEAR($I$27),MONTH($I$27),DAY($I$27)))</f>
        <v>　　年　月</v>
      </c>
      <c r="G219" s="1005"/>
      <c r="H219" s="1006"/>
      <c r="I219" s="607"/>
      <c r="J219" s="608"/>
      <c r="K219" s="609"/>
      <c r="L219" s="463"/>
      <c r="M219" s="593"/>
      <c r="N219" s="621" t="str">
        <f>IF($B$219="","",I219/L219)</f>
        <v/>
      </c>
      <c r="O219" s="622"/>
      <c r="P219" s="1005" t="str">
        <f>IF($B219="","　　年　月",DATE(YEAR($I$27),MONTH($I$27)+6,DAY($I$27)))</f>
        <v>　　年　月</v>
      </c>
      <c r="Q219" s="1005"/>
      <c r="R219" s="1006"/>
      <c r="S219" s="607"/>
      <c r="T219" s="608"/>
      <c r="U219" s="609"/>
      <c r="V219" s="463"/>
      <c r="W219" s="593"/>
      <c r="X219" s="621" t="str">
        <f>IF($B$219="","",S219/V219)</f>
        <v/>
      </c>
      <c r="Y219" s="622"/>
      <c r="Z219" s="623" t="str">
        <f>IF(B219="","",IF(COUNTIF(N219:O224,"&gt;=45")+COUNTIF(X219:Y224,"&gt;=45")&gt;0,"Ａ≧45　あり","全月　　Ａ＜45"))</f>
        <v/>
      </c>
      <c r="AA219" s="624"/>
    </row>
    <row r="220" spans="2:27" ht="17.25" customHeight="1" thickTop="1" thickBot="1" x14ac:dyDescent="0.2">
      <c r="B220" s="615"/>
      <c r="C220" s="616"/>
      <c r="D220" s="617"/>
      <c r="E220" s="24"/>
      <c r="F220" s="1004" t="str">
        <f>IF($B219="","　　年　月",DATE(YEAR($I$27),MONTH($I$27)+1,DAY($I$27)))</f>
        <v>　　年　月</v>
      </c>
      <c r="G220" s="1005"/>
      <c r="H220" s="1006"/>
      <c r="I220" s="596"/>
      <c r="J220" s="597"/>
      <c r="K220" s="598"/>
      <c r="L220" s="463"/>
      <c r="M220" s="593"/>
      <c r="N220" s="594" t="str">
        <f>IF($B$219="","",I220/L220)</f>
        <v/>
      </c>
      <c r="O220" s="595"/>
      <c r="P220" s="1005" t="str">
        <f>IF($B219="","　　年　月",DATE(YEAR($I$27),MONTH($I$27)+7,DAY($I$27)))</f>
        <v>　　年　月</v>
      </c>
      <c r="Q220" s="1005"/>
      <c r="R220" s="1006"/>
      <c r="S220" s="596"/>
      <c r="T220" s="597"/>
      <c r="U220" s="598"/>
      <c r="V220" s="463"/>
      <c r="W220" s="593"/>
      <c r="X220" s="594" t="str">
        <f t="shared" ref="X220:X223" si="11">IF($B$219="","",S220/V220)</f>
        <v/>
      </c>
      <c r="Y220" s="595"/>
      <c r="Z220" s="623"/>
      <c r="AA220" s="624"/>
    </row>
    <row r="221" spans="2:27" ht="17.25" customHeight="1" thickTop="1" thickBot="1" x14ac:dyDescent="0.2">
      <c r="B221" s="615"/>
      <c r="C221" s="616"/>
      <c r="D221" s="617"/>
      <c r="E221" s="24"/>
      <c r="F221" s="1004" t="str">
        <f>IF($B219="","　　年　月",DATE(YEAR($I$27),MONTH($I$27)+2,DAY($I$27)))</f>
        <v>　　年　月</v>
      </c>
      <c r="G221" s="1005"/>
      <c r="H221" s="1006"/>
      <c r="I221" s="596"/>
      <c r="J221" s="597"/>
      <c r="K221" s="598"/>
      <c r="L221" s="463"/>
      <c r="M221" s="593"/>
      <c r="N221" s="594" t="str">
        <f t="shared" ref="N221:N223" si="12">IF($B$219="","",I221/L221)</f>
        <v/>
      </c>
      <c r="O221" s="595"/>
      <c r="P221" s="1005" t="str">
        <f>IF($B219="","　　年　月",DATE(YEAR($I$27),MONTH($I$27)+8,DAY($I$27)))</f>
        <v>　　年　月</v>
      </c>
      <c r="Q221" s="1005"/>
      <c r="R221" s="1006"/>
      <c r="S221" s="596"/>
      <c r="T221" s="597"/>
      <c r="U221" s="598"/>
      <c r="V221" s="463"/>
      <c r="W221" s="593"/>
      <c r="X221" s="594" t="str">
        <f t="shared" si="11"/>
        <v/>
      </c>
      <c r="Y221" s="595"/>
      <c r="Z221" s="623"/>
      <c r="AA221" s="624"/>
    </row>
    <row r="222" spans="2:27" ht="17.25" customHeight="1" thickTop="1" thickBot="1" x14ac:dyDescent="0.2">
      <c r="B222" s="615"/>
      <c r="C222" s="616"/>
      <c r="D222" s="617"/>
      <c r="E222" s="24"/>
      <c r="F222" s="1004" t="str">
        <f>IF($B219="","　　年　月",DATE(YEAR($I$27),MONTH($I$27)+3,DAY($I$27)))</f>
        <v>　　年　月</v>
      </c>
      <c r="G222" s="1005"/>
      <c r="H222" s="1006"/>
      <c r="I222" s="596"/>
      <c r="J222" s="597"/>
      <c r="K222" s="598"/>
      <c r="L222" s="463"/>
      <c r="M222" s="593"/>
      <c r="N222" s="594" t="str">
        <f t="shared" si="12"/>
        <v/>
      </c>
      <c r="O222" s="595"/>
      <c r="P222" s="1005" t="str">
        <f>IF($B219="","　　年　月",DATE(YEAR($I$27),MONTH($I$27)+9,DAY($I$27)))</f>
        <v>　　年　月</v>
      </c>
      <c r="Q222" s="1005"/>
      <c r="R222" s="1006"/>
      <c r="S222" s="596"/>
      <c r="T222" s="597"/>
      <c r="U222" s="598"/>
      <c r="V222" s="463"/>
      <c r="W222" s="593"/>
      <c r="X222" s="594" t="str">
        <f t="shared" si="11"/>
        <v/>
      </c>
      <c r="Y222" s="595"/>
      <c r="Z222" s="623"/>
      <c r="AA222" s="624"/>
    </row>
    <row r="223" spans="2:27" ht="17.25" customHeight="1" thickTop="1" thickBot="1" x14ac:dyDescent="0.2">
      <c r="B223" s="615"/>
      <c r="C223" s="616"/>
      <c r="D223" s="617"/>
      <c r="E223" s="24"/>
      <c r="F223" s="1004" t="str">
        <f>IF($B219="","　　年　月",DATE(YEAR($I$27),MONTH($I$27)+4,DAY($I$27)))</f>
        <v>　　年　月</v>
      </c>
      <c r="G223" s="1005"/>
      <c r="H223" s="1006"/>
      <c r="I223" s="596"/>
      <c r="J223" s="597"/>
      <c r="K223" s="598"/>
      <c r="L223" s="463"/>
      <c r="M223" s="593"/>
      <c r="N223" s="594" t="str">
        <f t="shared" si="12"/>
        <v/>
      </c>
      <c r="O223" s="595"/>
      <c r="P223" s="1005" t="str">
        <f>IF($B219="","　　年　月",DATE(YEAR($I$27),MONTH($I$27)+10,DAY($I$27)))</f>
        <v>　　年　月</v>
      </c>
      <c r="Q223" s="1005"/>
      <c r="R223" s="1006"/>
      <c r="S223" s="596"/>
      <c r="T223" s="597"/>
      <c r="U223" s="598"/>
      <c r="V223" s="463"/>
      <c r="W223" s="593"/>
      <c r="X223" s="594" t="str">
        <f t="shared" si="11"/>
        <v/>
      </c>
      <c r="Y223" s="595"/>
      <c r="Z223" s="623"/>
      <c r="AA223" s="624"/>
    </row>
    <row r="224" spans="2:27" ht="17.25" customHeight="1" thickTop="1" thickBot="1" x14ac:dyDescent="0.2">
      <c r="B224" s="618"/>
      <c r="C224" s="619"/>
      <c r="D224" s="620"/>
      <c r="E224" s="24"/>
      <c r="F224" s="1004" t="str">
        <f>IF($B219="","　　年　月",DATE(YEAR($I$27),MONTH($I$27)+5,DAY($I$27)))</f>
        <v>　　年　月</v>
      </c>
      <c r="G224" s="1005"/>
      <c r="H224" s="1006"/>
      <c r="I224" s="596"/>
      <c r="J224" s="597"/>
      <c r="K224" s="598"/>
      <c r="L224" s="463"/>
      <c r="M224" s="593"/>
      <c r="N224" s="627" t="str">
        <f>IF($B$219="","",I224/L224)</f>
        <v/>
      </c>
      <c r="O224" s="628"/>
      <c r="P224" s="1005" t="str">
        <f>IF($B219="","　　年　月",DATE(YEAR($I$27),MONTH($I$27)+11,DAY($I$27)))</f>
        <v>　　年　月</v>
      </c>
      <c r="Q224" s="1005"/>
      <c r="R224" s="1006"/>
      <c r="S224" s="596"/>
      <c r="T224" s="597"/>
      <c r="U224" s="598"/>
      <c r="V224" s="463"/>
      <c r="W224" s="593"/>
      <c r="X224" s="627" t="str">
        <f>IF($B$219="","",S224/V224)</f>
        <v/>
      </c>
      <c r="Y224" s="628"/>
      <c r="Z224" s="623"/>
      <c r="AA224" s="624"/>
    </row>
    <row r="225" spans="2:27" ht="17.25" customHeight="1" thickTop="1" thickBot="1" x14ac:dyDescent="0.2">
      <c r="B225" s="612"/>
      <c r="C225" s="613"/>
      <c r="D225" s="614"/>
      <c r="E225" s="24"/>
      <c r="F225" s="1004" t="str">
        <f>IF($B225="","　　年　月",DATE(YEAR($I$27),MONTH($I$27),DAY($I$27)))</f>
        <v>　　年　月</v>
      </c>
      <c r="G225" s="1005"/>
      <c r="H225" s="1006"/>
      <c r="I225" s="596"/>
      <c r="J225" s="597"/>
      <c r="K225" s="598"/>
      <c r="L225" s="463"/>
      <c r="M225" s="593"/>
      <c r="N225" s="625" t="str">
        <f>IF($B$225="","",I225/L225)</f>
        <v/>
      </c>
      <c r="O225" s="626"/>
      <c r="P225" s="1005" t="str">
        <f>IF($B225="","　　年　月",DATE(YEAR($I$27),MONTH($I$27)+6,DAY($I$27)))</f>
        <v>　　年　月</v>
      </c>
      <c r="Q225" s="1005"/>
      <c r="R225" s="1006"/>
      <c r="S225" s="596"/>
      <c r="T225" s="597"/>
      <c r="U225" s="598"/>
      <c r="V225" s="463"/>
      <c r="W225" s="593"/>
      <c r="X225" s="625" t="str">
        <f>IF($B$225="","",S225/V225)</f>
        <v/>
      </c>
      <c r="Y225" s="626"/>
      <c r="Z225" s="623" t="str">
        <f>IF(B225="","",IF(COUNTIF(N225:O230,"&gt;=45")+COUNTIF(X225:Y230,"&gt;=45")&gt;0,"Ａ≧45　あり","全月　　Ａ＜45"))</f>
        <v/>
      </c>
      <c r="AA225" s="624"/>
    </row>
    <row r="226" spans="2:27" ht="17.25" customHeight="1" thickTop="1" thickBot="1" x14ac:dyDescent="0.2">
      <c r="B226" s="615"/>
      <c r="C226" s="616"/>
      <c r="D226" s="617"/>
      <c r="E226" s="24"/>
      <c r="F226" s="1004" t="str">
        <f>IF($B225="","　　年　月",DATE(YEAR($I$27),MONTH($I$27)+1,DAY($I$27)))</f>
        <v>　　年　月</v>
      </c>
      <c r="G226" s="1005"/>
      <c r="H226" s="1006"/>
      <c r="I226" s="596"/>
      <c r="J226" s="597"/>
      <c r="K226" s="598"/>
      <c r="L226" s="463"/>
      <c r="M226" s="593"/>
      <c r="N226" s="594" t="str">
        <f t="shared" ref="N226:N229" si="13">IF($B$225="","",I226/L226)</f>
        <v/>
      </c>
      <c r="O226" s="595"/>
      <c r="P226" s="1005" t="str">
        <f>IF($B225="","　　年　月",DATE(YEAR($I$27),MONTH($I$27)+7,DAY($I$27)))</f>
        <v>　　年　月</v>
      </c>
      <c r="Q226" s="1005"/>
      <c r="R226" s="1006"/>
      <c r="S226" s="596"/>
      <c r="T226" s="597"/>
      <c r="U226" s="598"/>
      <c r="V226" s="463"/>
      <c r="W226" s="593"/>
      <c r="X226" s="594" t="str">
        <f t="shared" ref="X226:X230" si="14">IF($B$225="","",S226/V226)</f>
        <v/>
      </c>
      <c r="Y226" s="595"/>
      <c r="Z226" s="623"/>
      <c r="AA226" s="624"/>
    </row>
    <row r="227" spans="2:27" ht="17.25" customHeight="1" thickTop="1" thickBot="1" x14ac:dyDescent="0.2">
      <c r="B227" s="615"/>
      <c r="C227" s="616"/>
      <c r="D227" s="617"/>
      <c r="E227" s="24"/>
      <c r="F227" s="1004" t="str">
        <f>IF($B225="","　　年　月",DATE(YEAR($I$27),MONTH($I$27)+2,DAY($I$27)))</f>
        <v>　　年　月</v>
      </c>
      <c r="G227" s="1005"/>
      <c r="H227" s="1006"/>
      <c r="I227" s="596"/>
      <c r="J227" s="597"/>
      <c r="K227" s="598"/>
      <c r="L227" s="463"/>
      <c r="M227" s="593"/>
      <c r="N227" s="594" t="str">
        <f t="shared" si="13"/>
        <v/>
      </c>
      <c r="O227" s="595"/>
      <c r="P227" s="1005" t="str">
        <f>IF($B225="","　　年　月",DATE(YEAR($I$27),MONTH($I$27)+8,DAY($I$27)))</f>
        <v>　　年　月</v>
      </c>
      <c r="Q227" s="1005"/>
      <c r="R227" s="1006"/>
      <c r="S227" s="596"/>
      <c r="T227" s="597"/>
      <c r="U227" s="598"/>
      <c r="V227" s="463"/>
      <c r="W227" s="593"/>
      <c r="X227" s="594" t="str">
        <f t="shared" si="14"/>
        <v/>
      </c>
      <c r="Y227" s="595"/>
      <c r="Z227" s="623"/>
      <c r="AA227" s="624"/>
    </row>
    <row r="228" spans="2:27" ht="17.25" customHeight="1" thickTop="1" thickBot="1" x14ac:dyDescent="0.2">
      <c r="B228" s="615"/>
      <c r="C228" s="616"/>
      <c r="D228" s="617"/>
      <c r="E228" s="24"/>
      <c r="F228" s="1004" t="str">
        <f>IF($B225="","　　年　月",DATE(YEAR($I$27),MONTH($I$27)+3,DAY($I$27)))</f>
        <v>　　年　月</v>
      </c>
      <c r="G228" s="1005"/>
      <c r="H228" s="1006"/>
      <c r="I228" s="596"/>
      <c r="J228" s="597"/>
      <c r="K228" s="598"/>
      <c r="L228" s="463"/>
      <c r="M228" s="593"/>
      <c r="N228" s="594" t="str">
        <f t="shared" si="13"/>
        <v/>
      </c>
      <c r="O228" s="595"/>
      <c r="P228" s="1005" t="str">
        <f>IF($B225="","　　年　月",DATE(YEAR($I$27),MONTH($I$27)+9,DAY($I$27)))</f>
        <v>　　年　月</v>
      </c>
      <c r="Q228" s="1005"/>
      <c r="R228" s="1006"/>
      <c r="S228" s="596"/>
      <c r="T228" s="597"/>
      <c r="U228" s="598"/>
      <c r="V228" s="463"/>
      <c r="W228" s="593"/>
      <c r="X228" s="594" t="str">
        <f t="shared" si="14"/>
        <v/>
      </c>
      <c r="Y228" s="595"/>
      <c r="Z228" s="623"/>
      <c r="AA228" s="624"/>
    </row>
    <row r="229" spans="2:27" ht="17.25" customHeight="1" thickTop="1" thickBot="1" x14ac:dyDescent="0.2">
      <c r="B229" s="615"/>
      <c r="C229" s="616"/>
      <c r="D229" s="617"/>
      <c r="E229" s="24"/>
      <c r="F229" s="1004" t="str">
        <f>IF($B225="","　　年　月",DATE(YEAR($I$27),MONTH($I$27)+4,DAY($I$27)))</f>
        <v>　　年　月</v>
      </c>
      <c r="G229" s="1005"/>
      <c r="H229" s="1006"/>
      <c r="I229" s="596"/>
      <c r="J229" s="597"/>
      <c r="K229" s="598"/>
      <c r="L229" s="463"/>
      <c r="M229" s="593"/>
      <c r="N229" s="594" t="str">
        <f t="shared" si="13"/>
        <v/>
      </c>
      <c r="O229" s="595"/>
      <c r="P229" s="1005" t="str">
        <f>IF($B225="","　　年　月",DATE(YEAR($I$27),MONTH($I$27)+10,DAY($I$27)))</f>
        <v>　　年　月</v>
      </c>
      <c r="Q229" s="1005"/>
      <c r="R229" s="1006"/>
      <c r="S229" s="596"/>
      <c r="T229" s="597"/>
      <c r="U229" s="598"/>
      <c r="V229" s="463"/>
      <c r="W229" s="593"/>
      <c r="X229" s="594" t="str">
        <f t="shared" si="14"/>
        <v/>
      </c>
      <c r="Y229" s="595"/>
      <c r="Z229" s="623"/>
      <c r="AA229" s="624"/>
    </row>
    <row r="230" spans="2:27" ht="17.25" customHeight="1" thickTop="1" thickBot="1" x14ac:dyDescent="0.2">
      <c r="B230" s="618"/>
      <c r="C230" s="619"/>
      <c r="D230" s="620"/>
      <c r="E230" s="24"/>
      <c r="F230" s="1004" t="str">
        <f>IF($B225="","　　年　月",DATE(YEAR($I$27),MONTH($I$27)+5,DAY($I$27)))</f>
        <v>　　年　月</v>
      </c>
      <c r="G230" s="1005"/>
      <c r="H230" s="1006"/>
      <c r="I230" s="596"/>
      <c r="J230" s="597"/>
      <c r="K230" s="598"/>
      <c r="L230" s="463"/>
      <c r="M230" s="593"/>
      <c r="N230" s="583" t="str">
        <f>IF($B$225="","",I230/L230)</f>
        <v/>
      </c>
      <c r="O230" s="584"/>
      <c r="P230" s="1005" t="str">
        <f>IF($B225="","　　年　月",DATE(YEAR($I$27),MONTH($I$27)+11,DAY($I$27)))</f>
        <v>　　年　月</v>
      </c>
      <c r="Q230" s="1005"/>
      <c r="R230" s="1006"/>
      <c r="S230" s="596"/>
      <c r="T230" s="597"/>
      <c r="U230" s="598"/>
      <c r="V230" s="463"/>
      <c r="W230" s="593"/>
      <c r="X230" s="583" t="str">
        <f t="shared" si="14"/>
        <v/>
      </c>
      <c r="Y230" s="584"/>
      <c r="Z230" s="623"/>
      <c r="AA230" s="624"/>
    </row>
    <row r="231" spans="2:27" ht="17.25" customHeight="1" thickTop="1" thickBot="1" x14ac:dyDescent="0.2">
      <c r="B231" s="612"/>
      <c r="C231" s="613"/>
      <c r="D231" s="614"/>
      <c r="E231" s="24"/>
      <c r="F231" s="1004" t="str">
        <f>IF($B231="","　　年　月",DATE(YEAR($I$27),MONTH($I$27),DAY($I$27)))</f>
        <v>　　年　月</v>
      </c>
      <c r="G231" s="1005"/>
      <c r="H231" s="1006"/>
      <c r="I231" s="596"/>
      <c r="J231" s="597"/>
      <c r="K231" s="598"/>
      <c r="L231" s="463"/>
      <c r="M231" s="593"/>
      <c r="N231" s="621" t="str">
        <f>IF($B$231="","",I231/L231)</f>
        <v/>
      </c>
      <c r="O231" s="622"/>
      <c r="P231" s="1005" t="str">
        <f>IF($B231="","　　年　月",DATE(YEAR($I$27),MONTH($I$27)+6,DAY($I$27)))</f>
        <v>　　年　月</v>
      </c>
      <c r="Q231" s="1005"/>
      <c r="R231" s="1006"/>
      <c r="S231" s="596"/>
      <c r="T231" s="597"/>
      <c r="U231" s="598"/>
      <c r="V231" s="463"/>
      <c r="W231" s="593"/>
      <c r="X231" s="621" t="str">
        <f>IF($B$231="","",S231/V231)</f>
        <v/>
      </c>
      <c r="Y231" s="622"/>
      <c r="Z231" s="623" t="str">
        <f>IF(B231="","",IF(COUNTIF(N231:O236,"&gt;=45")+COUNTIF(X231:Y236,"&gt;=45")&gt;0,"Ａ≧45　あり","全月　　Ａ＜45"))</f>
        <v/>
      </c>
      <c r="AA231" s="624"/>
    </row>
    <row r="232" spans="2:27" ht="17.25" customHeight="1" thickTop="1" thickBot="1" x14ac:dyDescent="0.2">
      <c r="B232" s="615"/>
      <c r="C232" s="616"/>
      <c r="D232" s="617"/>
      <c r="E232" s="24"/>
      <c r="F232" s="1004" t="str">
        <f>IF($B231="","　　年　月",DATE(YEAR($I$27),MONTH($I$27)+1,DAY($I$27)))</f>
        <v>　　年　月</v>
      </c>
      <c r="G232" s="1005"/>
      <c r="H232" s="1006"/>
      <c r="I232" s="596"/>
      <c r="J232" s="597"/>
      <c r="K232" s="598"/>
      <c r="L232" s="463"/>
      <c r="M232" s="593"/>
      <c r="N232" s="594" t="str">
        <f t="shared" ref="N232:N235" si="15">IF($B$231="","",I232/L232)</f>
        <v/>
      </c>
      <c r="O232" s="595"/>
      <c r="P232" s="1005" t="str">
        <f>IF($B231="","　　年　月",DATE(YEAR($I$27),MONTH($I$27)+7,DAY($I$27)))</f>
        <v>　　年　月</v>
      </c>
      <c r="Q232" s="1005"/>
      <c r="R232" s="1006"/>
      <c r="S232" s="596"/>
      <c r="T232" s="597"/>
      <c r="U232" s="598"/>
      <c r="V232" s="463"/>
      <c r="W232" s="593"/>
      <c r="X232" s="594" t="str">
        <f t="shared" ref="X232:X235" si="16">IF($B$231="","",S232/V232)</f>
        <v/>
      </c>
      <c r="Y232" s="595"/>
      <c r="Z232" s="623"/>
      <c r="AA232" s="624"/>
    </row>
    <row r="233" spans="2:27" ht="17.25" customHeight="1" thickTop="1" thickBot="1" x14ac:dyDescent="0.2">
      <c r="B233" s="615"/>
      <c r="C233" s="616"/>
      <c r="D233" s="617"/>
      <c r="E233" s="24"/>
      <c r="F233" s="1004" t="str">
        <f>IF($B231="","　　年　月",DATE(YEAR($I$27),MONTH($I$27)+2,DAY($I$27)))</f>
        <v>　　年　月</v>
      </c>
      <c r="G233" s="1005"/>
      <c r="H233" s="1006"/>
      <c r="I233" s="596"/>
      <c r="J233" s="597"/>
      <c r="K233" s="598"/>
      <c r="L233" s="463"/>
      <c r="M233" s="593"/>
      <c r="N233" s="594" t="str">
        <f t="shared" si="15"/>
        <v/>
      </c>
      <c r="O233" s="595"/>
      <c r="P233" s="1005" t="str">
        <f>IF($B231="","　　年　月",DATE(YEAR($I$27),MONTH($I$27)+8,DAY($I$27)))</f>
        <v>　　年　月</v>
      </c>
      <c r="Q233" s="1005"/>
      <c r="R233" s="1006"/>
      <c r="S233" s="596"/>
      <c r="T233" s="597"/>
      <c r="U233" s="598"/>
      <c r="V233" s="463"/>
      <c r="W233" s="593"/>
      <c r="X233" s="594" t="str">
        <f t="shared" si="16"/>
        <v/>
      </c>
      <c r="Y233" s="595"/>
      <c r="Z233" s="623"/>
      <c r="AA233" s="624"/>
    </row>
    <row r="234" spans="2:27" ht="17.25" customHeight="1" thickTop="1" thickBot="1" x14ac:dyDescent="0.2">
      <c r="B234" s="615"/>
      <c r="C234" s="616"/>
      <c r="D234" s="617"/>
      <c r="E234" s="24"/>
      <c r="F234" s="1004" t="str">
        <f>IF($B231="","　　年　月",DATE(YEAR($I$27),MONTH($I$27)+3,DAY($I$27)))</f>
        <v>　　年　月</v>
      </c>
      <c r="G234" s="1005"/>
      <c r="H234" s="1006"/>
      <c r="I234" s="596"/>
      <c r="J234" s="597"/>
      <c r="K234" s="598"/>
      <c r="L234" s="463"/>
      <c r="M234" s="593"/>
      <c r="N234" s="594" t="str">
        <f t="shared" si="15"/>
        <v/>
      </c>
      <c r="O234" s="595"/>
      <c r="P234" s="1005" t="str">
        <f>IF($B231="","　　年　月",DATE(YEAR($I$27),MONTH($I$27)+9,DAY($I$27)))</f>
        <v>　　年　月</v>
      </c>
      <c r="Q234" s="1005"/>
      <c r="R234" s="1006"/>
      <c r="S234" s="596"/>
      <c r="T234" s="597"/>
      <c r="U234" s="598"/>
      <c r="V234" s="463"/>
      <c r="W234" s="593"/>
      <c r="X234" s="594" t="str">
        <f t="shared" si="16"/>
        <v/>
      </c>
      <c r="Y234" s="595"/>
      <c r="Z234" s="623"/>
      <c r="AA234" s="624"/>
    </row>
    <row r="235" spans="2:27" ht="17.25" customHeight="1" thickTop="1" thickBot="1" x14ac:dyDescent="0.2">
      <c r="B235" s="615"/>
      <c r="C235" s="616"/>
      <c r="D235" s="617"/>
      <c r="E235" s="24"/>
      <c r="F235" s="1004" t="str">
        <f>IF($B231="","　　年　月",DATE(YEAR($I$27),MONTH($I$27)+4,DAY($I$27)))</f>
        <v>　　年　月</v>
      </c>
      <c r="G235" s="1005"/>
      <c r="H235" s="1006"/>
      <c r="I235" s="596"/>
      <c r="J235" s="597"/>
      <c r="K235" s="598"/>
      <c r="L235" s="463"/>
      <c r="M235" s="593"/>
      <c r="N235" s="594" t="str">
        <f t="shared" si="15"/>
        <v/>
      </c>
      <c r="O235" s="595"/>
      <c r="P235" s="1005" t="str">
        <f>IF($B231="","　　年　月",DATE(YEAR($I$27),MONTH($I$27)+10,DAY($I$27)))</f>
        <v>　　年　月</v>
      </c>
      <c r="Q235" s="1005"/>
      <c r="R235" s="1006"/>
      <c r="S235" s="596"/>
      <c r="T235" s="597"/>
      <c r="U235" s="598"/>
      <c r="V235" s="463"/>
      <c r="W235" s="593"/>
      <c r="X235" s="594" t="str">
        <f t="shared" si="16"/>
        <v/>
      </c>
      <c r="Y235" s="595"/>
      <c r="Z235" s="623"/>
      <c r="AA235" s="624"/>
    </row>
    <row r="236" spans="2:27" ht="17.25" customHeight="1" thickTop="1" thickBot="1" x14ac:dyDescent="0.2">
      <c r="B236" s="618"/>
      <c r="C236" s="619"/>
      <c r="D236" s="620"/>
      <c r="E236" s="24"/>
      <c r="F236" s="1004" t="str">
        <f>IF($B231="","　　年　月",DATE(YEAR($I$27),MONTH($I$27)+5,DAY($I$27)))</f>
        <v>　　年　月</v>
      </c>
      <c r="G236" s="1005"/>
      <c r="H236" s="1006"/>
      <c r="I236" s="607"/>
      <c r="J236" s="608"/>
      <c r="K236" s="609"/>
      <c r="L236" s="610"/>
      <c r="M236" s="611"/>
      <c r="N236" s="583" t="str">
        <f>IF($B$231="","",I236/L236)</f>
        <v/>
      </c>
      <c r="O236" s="584"/>
      <c r="P236" s="1005" t="str">
        <f>IF($B231="","　　年　月",DATE(YEAR($I$27),MONTH($I$27)+11,DAY($I$27)))</f>
        <v>　　年　月</v>
      </c>
      <c r="Q236" s="1005"/>
      <c r="R236" s="1006"/>
      <c r="S236" s="607"/>
      <c r="T236" s="608"/>
      <c r="U236" s="609"/>
      <c r="V236" s="610"/>
      <c r="W236" s="611"/>
      <c r="X236" s="583" t="str">
        <f>IF($B$231="","",S236/V236)</f>
        <v/>
      </c>
      <c r="Y236" s="584"/>
      <c r="Z236" s="589"/>
      <c r="AA236" s="590"/>
    </row>
    <row r="237" spans="2:27" ht="27.75" customHeight="1" thickTop="1" thickBot="1" x14ac:dyDescent="0.2">
      <c r="F237" s="556" t="s">
        <v>188</v>
      </c>
      <c r="G237" s="557"/>
      <c r="H237" s="557"/>
      <c r="I237" s="557"/>
      <c r="J237" s="557"/>
      <c r="K237" s="557"/>
      <c r="L237" s="557"/>
      <c r="M237" s="557"/>
      <c r="N237" s="557"/>
      <c r="O237" s="557"/>
      <c r="P237" s="557"/>
      <c r="Q237" s="557"/>
      <c r="R237" s="557"/>
      <c r="S237" s="557"/>
      <c r="T237" s="557"/>
      <c r="U237" s="557"/>
      <c r="V237" s="557"/>
      <c r="W237" s="558"/>
      <c r="X237" s="603"/>
      <c r="Y237" s="604"/>
      <c r="Z237" s="604"/>
      <c r="AA237" s="605"/>
    </row>
    <row r="238" spans="2:27" ht="17.25" customHeight="1" thickTop="1" x14ac:dyDescent="0.15">
      <c r="AA238" s="35" t="str">
        <f>IF(G23="","",IF(X237="","リストから選択↑　",""))</f>
        <v/>
      </c>
    </row>
    <row r="239" spans="2:27" ht="16.5" customHeight="1" x14ac:dyDescent="0.15">
      <c r="B239" s="606" t="s">
        <v>67</v>
      </c>
      <c r="C239" s="606"/>
      <c r="D239" s="606"/>
      <c r="E239" s="606"/>
      <c r="F239" s="606"/>
      <c r="G239" s="606"/>
      <c r="H239" s="606"/>
      <c r="I239" s="606"/>
      <c r="J239" s="606"/>
      <c r="K239" s="606"/>
      <c r="L239" s="606"/>
      <c r="M239" s="606"/>
      <c r="N239" s="606"/>
      <c r="O239" s="606"/>
      <c r="P239" s="606"/>
      <c r="Q239" s="606"/>
      <c r="R239" s="606"/>
      <c r="S239" s="606"/>
      <c r="T239" s="606"/>
      <c r="U239" s="606"/>
      <c r="V239" s="606"/>
      <c r="W239" s="606"/>
      <c r="X239" s="606"/>
      <c r="Y239" s="606"/>
      <c r="Z239" s="606"/>
      <c r="AA239" s="606"/>
    </row>
    <row r="240" spans="2:27" ht="17.25" customHeight="1" x14ac:dyDescent="0.15"/>
    <row r="241" spans="2:27" ht="17.25" customHeight="1" x14ac:dyDescent="0.15">
      <c r="B241" s="1" t="s">
        <v>159</v>
      </c>
      <c r="AA241" s="169" t="str">
        <f>IF(G$23="","",G$23)</f>
        <v/>
      </c>
    </row>
    <row r="242" spans="2:27" ht="17.25" customHeight="1" x14ac:dyDescent="0.15"/>
    <row r="243" spans="2:27" ht="17.25" customHeight="1" x14ac:dyDescent="0.15">
      <c r="B243" s="11" t="s">
        <v>23</v>
      </c>
      <c r="Q243" s="14"/>
    </row>
    <row r="244" spans="2:27" ht="17.25" customHeight="1" thickBot="1" x14ac:dyDescent="0.2">
      <c r="C244" s="9" t="s">
        <v>72</v>
      </c>
    </row>
    <row r="245" spans="2:27" s="9" customFormat="1" ht="54" customHeight="1" thickTop="1" thickBot="1" x14ac:dyDescent="0.2">
      <c r="B245" s="366" t="s">
        <v>0</v>
      </c>
      <c r="C245" s="367"/>
      <c r="D245" s="368"/>
      <c r="E245" s="93"/>
      <c r="F245" s="366" t="s">
        <v>19</v>
      </c>
      <c r="G245" s="367"/>
      <c r="H245" s="368"/>
      <c r="I245" s="410" t="s">
        <v>21</v>
      </c>
      <c r="J245" s="410"/>
      <c r="K245" s="411"/>
      <c r="L245" s="409" t="s">
        <v>20</v>
      </c>
      <c r="M245" s="367"/>
      <c r="N245" s="601" t="s">
        <v>45</v>
      </c>
      <c r="O245" s="602"/>
      <c r="P245" s="367" t="s">
        <v>19</v>
      </c>
      <c r="Q245" s="367"/>
      <c r="R245" s="368"/>
      <c r="S245" s="410" t="s">
        <v>21</v>
      </c>
      <c r="T245" s="410"/>
      <c r="U245" s="411"/>
      <c r="V245" s="409" t="s">
        <v>20</v>
      </c>
      <c r="W245" s="367"/>
      <c r="X245" s="601" t="s">
        <v>45</v>
      </c>
      <c r="Y245" s="602"/>
      <c r="Z245" s="478" t="s">
        <v>198</v>
      </c>
      <c r="AA245" s="480"/>
    </row>
    <row r="246" spans="2:27" ht="17.25" customHeight="1" thickTop="1" x14ac:dyDescent="0.15">
      <c r="B246" s="553"/>
      <c r="C246" s="554"/>
      <c r="D246" s="555"/>
      <c r="E246" s="23"/>
      <c r="F246" s="1004" t="str">
        <f>IF($B246="","　　年　月",DATE(YEAR($I$27),MONTH($I$27),DAY($I$27)))</f>
        <v>　　年　月</v>
      </c>
      <c r="G246" s="1005"/>
      <c r="H246" s="1006"/>
      <c r="I246" s="577"/>
      <c r="J246" s="577"/>
      <c r="K246" s="578"/>
      <c r="L246" s="318"/>
      <c r="M246" s="550"/>
      <c r="N246" s="585" t="str">
        <f t="shared" ref="N246:N251" si="17">IF($B$246="","",(I246-40*DAY(EOMONTH(DATE(YEAR($X$27),MONTH($X$27),DAY($X$27)),0))/7*L246)/L246)</f>
        <v/>
      </c>
      <c r="O246" s="586"/>
      <c r="P246" s="1005" t="str">
        <f>IF($B246="","　　年　月",DATE(YEAR($I$27),MONTH($I$27)+6,DAY($I$27)))</f>
        <v>　　年　月</v>
      </c>
      <c r="Q246" s="1005"/>
      <c r="R246" s="1006"/>
      <c r="S246" s="577"/>
      <c r="T246" s="577"/>
      <c r="U246" s="578"/>
      <c r="V246" s="318"/>
      <c r="W246" s="550"/>
      <c r="X246" s="585" t="str">
        <f t="shared" ref="X246:X251" si="18">IF($B$246="","",(S246-40*DAY(EOMONTH(DATE(YEAR($X$27),MONTH($X$27)+6,DAY($X$27)),0))/7*V246)/V246)</f>
        <v/>
      </c>
      <c r="Y246" s="586"/>
      <c r="Z246" s="599" t="str">
        <f>IF(B246="","",IF(COUNTIF(N246:O251,"&gt;=45")+COUNTIF(X246:Y251,"&gt;=45")&gt;0,"A'≧45　あり","全月　　A'＜45"))</f>
        <v/>
      </c>
      <c r="AA246" s="600"/>
    </row>
    <row r="247" spans="2:27" ht="17.25" customHeight="1" x14ac:dyDescent="0.15">
      <c r="B247" s="564"/>
      <c r="C247" s="349"/>
      <c r="D247" s="565"/>
      <c r="E247" s="23"/>
      <c r="F247" s="1004" t="str">
        <f>IF($B246="","　　年　月",DATE(YEAR($I$27),MONTH($I$27)+1,DAY($I$27)))</f>
        <v>　　年　月</v>
      </c>
      <c r="G247" s="1005"/>
      <c r="H247" s="1006"/>
      <c r="I247" s="551"/>
      <c r="J247" s="551"/>
      <c r="K247" s="552"/>
      <c r="L247" s="318"/>
      <c r="M247" s="550"/>
      <c r="N247" s="545" t="str">
        <f t="shared" si="17"/>
        <v/>
      </c>
      <c r="O247" s="546"/>
      <c r="P247" s="1005" t="str">
        <f>IF($B246="","　　年　月",DATE(YEAR($I$27),MONTH($I$27)+7,DAY($I$27)))</f>
        <v>　　年　月</v>
      </c>
      <c r="Q247" s="1005"/>
      <c r="R247" s="1006"/>
      <c r="S247" s="551"/>
      <c r="T247" s="551"/>
      <c r="U247" s="552"/>
      <c r="V247" s="318"/>
      <c r="W247" s="550"/>
      <c r="X247" s="545" t="str">
        <f t="shared" si="18"/>
        <v/>
      </c>
      <c r="Y247" s="546"/>
      <c r="Z247" s="575"/>
      <c r="AA247" s="576"/>
    </row>
    <row r="248" spans="2:27" ht="17.25" customHeight="1" x14ac:dyDescent="0.15">
      <c r="B248" s="564"/>
      <c r="C248" s="349"/>
      <c r="D248" s="565"/>
      <c r="E248" s="23"/>
      <c r="F248" s="1004" t="str">
        <f>IF($B246="","　　年　月",DATE(YEAR($I$27),MONTH($I$27)+2,DAY($I$27)))</f>
        <v>　　年　月</v>
      </c>
      <c r="G248" s="1005"/>
      <c r="H248" s="1006"/>
      <c r="I248" s="551"/>
      <c r="J248" s="551"/>
      <c r="K248" s="552"/>
      <c r="L248" s="318"/>
      <c r="M248" s="550"/>
      <c r="N248" s="545" t="str">
        <f t="shared" si="17"/>
        <v/>
      </c>
      <c r="O248" s="546"/>
      <c r="P248" s="1005" t="str">
        <f>IF($B246="","　　年　月",DATE(YEAR($I$27),MONTH($I$27)+8,DAY($I$27)))</f>
        <v>　　年　月</v>
      </c>
      <c r="Q248" s="1005"/>
      <c r="R248" s="1006"/>
      <c r="S248" s="551"/>
      <c r="T248" s="551"/>
      <c r="U248" s="552"/>
      <c r="V248" s="318"/>
      <c r="W248" s="550"/>
      <c r="X248" s="545" t="str">
        <f t="shared" si="18"/>
        <v/>
      </c>
      <c r="Y248" s="546"/>
      <c r="Z248" s="575"/>
      <c r="AA248" s="576"/>
    </row>
    <row r="249" spans="2:27" ht="17.25" customHeight="1" x14ac:dyDescent="0.15">
      <c r="B249" s="564"/>
      <c r="C249" s="349"/>
      <c r="D249" s="565"/>
      <c r="E249" s="23"/>
      <c r="F249" s="1004" t="str">
        <f>IF($B246="","　　年　月",DATE(YEAR($I$27),MONTH($I$27)+3,DAY($I$27)))</f>
        <v>　　年　月</v>
      </c>
      <c r="G249" s="1005"/>
      <c r="H249" s="1006"/>
      <c r="I249" s="551"/>
      <c r="J249" s="551"/>
      <c r="K249" s="552"/>
      <c r="L249" s="318"/>
      <c r="M249" s="550"/>
      <c r="N249" s="545" t="str">
        <f t="shared" si="17"/>
        <v/>
      </c>
      <c r="O249" s="546"/>
      <c r="P249" s="1005" t="str">
        <f>IF($B246="","　　年　月",DATE(YEAR($I$27),MONTH($I$27)+9,DAY($I$27)))</f>
        <v>　　年　月</v>
      </c>
      <c r="Q249" s="1005"/>
      <c r="R249" s="1006"/>
      <c r="S249" s="551"/>
      <c r="T249" s="551"/>
      <c r="U249" s="552"/>
      <c r="V249" s="318"/>
      <c r="W249" s="550"/>
      <c r="X249" s="545" t="str">
        <f t="shared" si="18"/>
        <v/>
      </c>
      <c r="Y249" s="546"/>
      <c r="Z249" s="575"/>
      <c r="AA249" s="576"/>
    </row>
    <row r="250" spans="2:27" ht="17.25" customHeight="1" x14ac:dyDescent="0.15">
      <c r="B250" s="564"/>
      <c r="C250" s="349"/>
      <c r="D250" s="565"/>
      <c r="E250" s="23"/>
      <c r="F250" s="1004" t="str">
        <f>IF($B246="","　　年　月",DATE(YEAR($I$27),MONTH($I$27)+4,DAY($I$27)))</f>
        <v>　　年　月</v>
      </c>
      <c r="G250" s="1005"/>
      <c r="H250" s="1006"/>
      <c r="I250" s="551"/>
      <c r="J250" s="551"/>
      <c r="K250" s="552"/>
      <c r="L250" s="318"/>
      <c r="M250" s="550"/>
      <c r="N250" s="545" t="str">
        <f t="shared" si="17"/>
        <v/>
      </c>
      <c r="O250" s="546"/>
      <c r="P250" s="1005" t="str">
        <f>IF($B246="","　　年　月",DATE(YEAR($I$27),MONTH($I$27)+10,DAY($I$27)))</f>
        <v>　　年　月</v>
      </c>
      <c r="Q250" s="1005"/>
      <c r="R250" s="1006"/>
      <c r="S250" s="551"/>
      <c r="T250" s="551"/>
      <c r="U250" s="552"/>
      <c r="V250" s="318"/>
      <c r="W250" s="550"/>
      <c r="X250" s="545" t="str">
        <f t="shared" si="18"/>
        <v/>
      </c>
      <c r="Y250" s="546"/>
      <c r="Z250" s="575"/>
      <c r="AA250" s="576"/>
    </row>
    <row r="251" spans="2:27" ht="17.25" customHeight="1" thickBot="1" x14ac:dyDescent="0.2">
      <c r="B251" s="566"/>
      <c r="C251" s="567"/>
      <c r="D251" s="568"/>
      <c r="E251" s="23"/>
      <c r="F251" s="1004" t="str">
        <f>IF($B246="","　　年　月",DATE(YEAR($I$27),MONTH($I$27)+5,DAY($I$27)))</f>
        <v>　　年　月</v>
      </c>
      <c r="G251" s="1005"/>
      <c r="H251" s="1006"/>
      <c r="I251" s="551"/>
      <c r="J251" s="551"/>
      <c r="K251" s="552"/>
      <c r="L251" s="318"/>
      <c r="M251" s="550"/>
      <c r="N251" s="581" t="str">
        <f t="shared" si="17"/>
        <v/>
      </c>
      <c r="O251" s="582"/>
      <c r="P251" s="1005" t="str">
        <f>IF($B246="","　　年　月",DATE(YEAR($I$27),MONTH($I$27)+11,DAY($I$27)))</f>
        <v>　　年　月</v>
      </c>
      <c r="Q251" s="1005"/>
      <c r="R251" s="1006"/>
      <c r="S251" s="551"/>
      <c r="T251" s="551"/>
      <c r="U251" s="552"/>
      <c r="V251" s="318"/>
      <c r="W251" s="550"/>
      <c r="X251" s="587" t="str">
        <f t="shared" si="18"/>
        <v/>
      </c>
      <c r="Y251" s="588"/>
      <c r="Z251" s="575"/>
      <c r="AA251" s="576"/>
    </row>
    <row r="252" spans="2:27" ht="17.25" customHeight="1" thickTop="1" x14ac:dyDescent="0.15">
      <c r="B252" s="564"/>
      <c r="C252" s="349"/>
      <c r="D252" s="565"/>
      <c r="E252" s="23"/>
      <c r="F252" s="1004" t="str">
        <f>IF($B252="","　　年　月",DATE(YEAR($I$27),MONTH($I$27),DAY($I$27)))</f>
        <v>　　年　月</v>
      </c>
      <c r="G252" s="1005"/>
      <c r="H252" s="1006"/>
      <c r="I252" s="569"/>
      <c r="J252" s="569"/>
      <c r="K252" s="570"/>
      <c r="L252" s="571"/>
      <c r="M252" s="572"/>
      <c r="N252" s="585" t="str">
        <f t="shared" ref="N252:N257" si="19">IF($B$252="","",(I252-40*DAY(EOMONTH(DATE(YEAR($X$27),MONTH($X$27),DAY($X$27)),0))/7*L252)/L252)</f>
        <v/>
      </c>
      <c r="O252" s="586"/>
      <c r="P252" s="1005" t="str">
        <f>IF($B252="","　　年　月",DATE(YEAR($I$27),MONTH($I$27)+6,DAY($I$27)))</f>
        <v>　　年　月</v>
      </c>
      <c r="Q252" s="1005"/>
      <c r="R252" s="1006"/>
      <c r="S252" s="569"/>
      <c r="T252" s="569"/>
      <c r="U252" s="570"/>
      <c r="V252" s="571"/>
      <c r="W252" s="572"/>
      <c r="X252" s="585" t="str">
        <f t="shared" ref="X252:X257" si="20">IF($B$252="","",(S252-40*DAY(EOMONTH(DATE(YEAR($X$27),MONTH($X$27)+6,DAY($X$27)),0))/7*V252)/V252)</f>
        <v/>
      </c>
      <c r="Y252" s="586"/>
      <c r="Z252" s="589" t="str">
        <f>IF(B252="","",IF(COUNTIF(N252:O257,"&gt;=45")+COUNTIF(X252:Y257,"&gt;=45")&gt;0,"A'≧45　あり","全月　　A'＜45"))</f>
        <v/>
      </c>
      <c r="AA252" s="590"/>
    </row>
    <row r="253" spans="2:27" ht="17.25" customHeight="1" x14ac:dyDescent="0.15">
      <c r="B253" s="564"/>
      <c r="C253" s="349"/>
      <c r="D253" s="565"/>
      <c r="E253" s="23"/>
      <c r="F253" s="1004" t="str">
        <f>IF($B252="","　　年　月",DATE(YEAR($I$27),MONTH($I$27)+1,DAY($I$27)))</f>
        <v>　　年　月</v>
      </c>
      <c r="G253" s="1005"/>
      <c r="H253" s="1006"/>
      <c r="I253" s="551"/>
      <c r="J253" s="551"/>
      <c r="K253" s="552"/>
      <c r="L253" s="318"/>
      <c r="M253" s="550"/>
      <c r="N253" s="545" t="str">
        <f t="shared" si="19"/>
        <v/>
      </c>
      <c r="O253" s="546"/>
      <c r="P253" s="1005" t="str">
        <f>IF($B252="","　　年　月",DATE(YEAR($I$27),MONTH($I$27)+7,DAY($I$27)))</f>
        <v>　　年　月</v>
      </c>
      <c r="Q253" s="1005"/>
      <c r="R253" s="1006"/>
      <c r="S253" s="551"/>
      <c r="T253" s="551"/>
      <c r="U253" s="552"/>
      <c r="V253" s="318"/>
      <c r="W253" s="550"/>
      <c r="X253" s="545" t="str">
        <f t="shared" si="20"/>
        <v/>
      </c>
      <c r="Y253" s="546"/>
      <c r="Z253" s="575"/>
      <c r="AA253" s="576"/>
    </row>
    <row r="254" spans="2:27" ht="17.25" customHeight="1" x14ac:dyDescent="0.15">
      <c r="B254" s="564"/>
      <c r="C254" s="349"/>
      <c r="D254" s="565"/>
      <c r="E254" s="23"/>
      <c r="F254" s="1004" t="str">
        <f>IF($B252="","　　年　月",DATE(YEAR($I$27),MONTH($I$27)+2,DAY($I$27)))</f>
        <v>　　年　月</v>
      </c>
      <c r="G254" s="1005"/>
      <c r="H254" s="1006"/>
      <c r="I254" s="551"/>
      <c r="J254" s="551"/>
      <c r="K254" s="552"/>
      <c r="L254" s="318"/>
      <c r="M254" s="550"/>
      <c r="N254" s="545" t="str">
        <f t="shared" si="19"/>
        <v/>
      </c>
      <c r="O254" s="546"/>
      <c r="P254" s="1005" t="str">
        <f>IF($B252="","　　年　月",DATE(YEAR($I$27),MONTH($I$27)+8,DAY($I$27)))</f>
        <v>　　年　月</v>
      </c>
      <c r="Q254" s="1005"/>
      <c r="R254" s="1006"/>
      <c r="S254" s="551"/>
      <c r="T254" s="551"/>
      <c r="U254" s="552"/>
      <c r="V254" s="318"/>
      <c r="W254" s="550"/>
      <c r="X254" s="545" t="str">
        <f t="shared" si="20"/>
        <v/>
      </c>
      <c r="Y254" s="546"/>
      <c r="Z254" s="575"/>
      <c r="AA254" s="576"/>
    </row>
    <row r="255" spans="2:27" ht="17.25" customHeight="1" x14ac:dyDescent="0.15">
      <c r="B255" s="564"/>
      <c r="C255" s="349"/>
      <c r="D255" s="565"/>
      <c r="E255" s="23"/>
      <c r="F255" s="1004" t="str">
        <f>IF($B252="","　　年　月",DATE(YEAR($I$27),MONTH($I$27)+3,DAY($I$27)))</f>
        <v>　　年　月</v>
      </c>
      <c r="G255" s="1005"/>
      <c r="H255" s="1006"/>
      <c r="I255" s="551"/>
      <c r="J255" s="551"/>
      <c r="K255" s="552"/>
      <c r="L255" s="318"/>
      <c r="M255" s="550"/>
      <c r="N255" s="545" t="str">
        <f t="shared" si="19"/>
        <v/>
      </c>
      <c r="O255" s="546"/>
      <c r="P255" s="1005" t="str">
        <f>IF($B252="","　　年　月",DATE(YEAR($I$27),MONTH($I$27)+9,DAY($I$27)))</f>
        <v>　　年　月</v>
      </c>
      <c r="Q255" s="1005"/>
      <c r="R255" s="1006"/>
      <c r="S255" s="551"/>
      <c r="T255" s="551"/>
      <c r="U255" s="552"/>
      <c r="V255" s="318"/>
      <c r="W255" s="550"/>
      <c r="X255" s="545" t="str">
        <f t="shared" si="20"/>
        <v/>
      </c>
      <c r="Y255" s="546"/>
      <c r="Z255" s="575"/>
      <c r="AA255" s="576"/>
    </row>
    <row r="256" spans="2:27" ht="17.25" customHeight="1" x14ac:dyDescent="0.15">
      <c r="B256" s="564"/>
      <c r="C256" s="349"/>
      <c r="D256" s="565"/>
      <c r="E256" s="23"/>
      <c r="F256" s="1004" t="str">
        <f>IF($B252="","　　年　月",DATE(YEAR($I$27),MONTH($I$27)+4,DAY($I$27)))</f>
        <v>　　年　月</v>
      </c>
      <c r="G256" s="1005"/>
      <c r="H256" s="1006"/>
      <c r="I256" s="551"/>
      <c r="J256" s="551"/>
      <c r="K256" s="552"/>
      <c r="L256" s="318"/>
      <c r="M256" s="550"/>
      <c r="N256" s="545" t="str">
        <f t="shared" si="19"/>
        <v/>
      </c>
      <c r="O256" s="546"/>
      <c r="P256" s="1005" t="str">
        <f>IF($B252="","　　年　月",DATE(YEAR($I$27),MONTH($I$27)+10,DAY($I$27)))</f>
        <v>　　年　月</v>
      </c>
      <c r="Q256" s="1005"/>
      <c r="R256" s="1006"/>
      <c r="S256" s="551"/>
      <c r="T256" s="551"/>
      <c r="U256" s="552"/>
      <c r="V256" s="318"/>
      <c r="W256" s="550"/>
      <c r="X256" s="545" t="str">
        <f t="shared" si="20"/>
        <v/>
      </c>
      <c r="Y256" s="546"/>
      <c r="Z256" s="575"/>
      <c r="AA256" s="576"/>
    </row>
    <row r="257" spans="2:27" ht="17.25" customHeight="1" thickBot="1" x14ac:dyDescent="0.2">
      <c r="B257" s="566"/>
      <c r="C257" s="567"/>
      <c r="D257" s="568"/>
      <c r="E257" s="23"/>
      <c r="F257" s="1004" t="str">
        <f>IF($B252="","　　年　月",DATE(YEAR($I$27),MONTH($I$27)+5,DAY($I$27)))</f>
        <v>　　年　月</v>
      </c>
      <c r="G257" s="1005"/>
      <c r="H257" s="1006"/>
      <c r="I257" s="551"/>
      <c r="J257" s="551"/>
      <c r="K257" s="552"/>
      <c r="L257" s="318"/>
      <c r="M257" s="550"/>
      <c r="N257" s="587" t="str">
        <f t="shared" si="19"/>
        <v/>
      </c>
      <c r="O257" s="588"/>
      <c r="P257" s="1005" t="str">
        <f>IF($B252="","　　年　月",DATE(YEAR($I$27),MONTH($I$27)+11,DAY($I$27)))</f>
        <v>　　年　月</v>
      </c>
      <c r="Q257" s="1005"/>
      <c r="R257" s="1006"/>
      <c r="S257" s="551"/>
      <c r="T257" s="551"/>
      <c r="U257" s="552"/>
      <c r="V257" s="318"/>
      <c r="W257" s="550"/>
      <c r="X257" s="587" t="str">
        <f t="shared" si="20"/>
        <v/>
      </c>
      <c r="Y257" s="588"/>
      <c r="Z257" s="591"/>
      <c r="AA257" s="592"/>
    </row>
    <row r="258" spans="2:27" ht="17.25" customHeight="1" thickTop="1" x14ac:dyDescent="0.15">
      <c r="B258" s="564"/>
      <c r="C258" s="349"/>
      <c r="D258" s="565"/>
      <c r="E258" s="23"/>
      <c r="F258" s="1004" t="str">
        <f>IF($B258="","　　年　月",DATE(YEAR($I$27),MONTH($I$27),DAY($I$27)))</f>
        <v>　　年　月</v>
      </c>
      <c r="G258" s="1005"/>
      <c r="H258" s="1006"/>
      <c r="I258" s="569"/>
      <c r="J258" s="569"/>
      <c r="K258" s="570"/>
      <c r="L258" s="571"/>
      <c r="M258" s="572"/>
      <c r="N258" s="573" t="str">
        <f t="shared" ref="N258:N263" si="21">IF($B$258="","",(I258-40*DAY(EOMONTH(DATE(YEAR($X$27),MONTH($X$27),DAY($X$27)),0))/7*L258)/L258)</f>
        <v/>
      </c>
      <c r="O258" s="574"/>
      <c r="P258" s="1005" t="str">
        <f>IF($B258="","　　年　月",DATE(YEAR($I$27),MONTH($I$27)+6,DAY($I$27)))</f>
        <v>　　年　月</v>
      </c>
      <c r="Q258" s="1005"/>
      <c r="R258" s="1006"/>
      <c r="S258" s="569"/>
      <c r="T258" s="569"/>
      <c r="U258" s="570"/>
      <c r="V258" s="571"/>
      <c r="W258" s="572"/>
      <c r="X258" s="573" t="str">
        <f t="shared" ref="X258:X263" si="22">IF($B$258="","",(S258-40*DAY(EOMONTH(DATE(YEAR($X$27),MONTH($X$27)+6,DAY($X$27)),0))/7*V258)/V258)</f>
        <v/>
      </c>
      <c r="Y258" s="574"/>
      <c r="Z258" s="575" t="str">
        <f>IF(B258="","",IF(COUNTIF(N258:O263,"&gt;=45")+COUNTIF(X258:Y263,"&gt;=45")&gt;0,"A'≧45　あり","全月　　A'＜45"))</f>
        <v/>
      </c>
      <c r="AA258" s="576"/>
    </row>
    <row r="259" spans="2:27" ht="17.25" customHeight="1" x14ac:dyDescent="0.15">
      <c r="B259" s="564"/>
      <c r="C259" s="349"/>
      <c r="D259" s="565"/>
      <c r="E259" s="23"/>
      <c r="F259" s="1004" t="str">
        <f>IF($B258="","　　年　月",DATE(YEAR($I$27),MONTH($I$27)+1,DAY($I$27)))</f>
        <v>　　年　月</v>
      </c>
      <c r="G259" s="1005"/>
      <c r="H259" s="1006"/>
      <c r="I259" s="551"/>
      <c r="J259" s="551"/>
      <c r="K259" s="552"/>
      <c r="L259" s="318"/>
      <c r="M259" s="550"/>
      <c r="N259" s="545" t="str">
        <f t="shared" si="21"/>
        <v/>
      </c>
      <c r="O259" s="546"/>
      <c r="P259" s="1005" t="str">
        <f>IF($B258="","　　年　月",DATE(YEAR($I$27),MONTH($I$27)+7,DAY($I$27)))</f>
        <v>　　年　月</v>
      </c>
      <c r="Q259" s="1005"/>
      <c r="R259" s="1006"/>
      <c r="S259" s="551"/>
      <c r="T259" s="551"/>
      <c r="U259" s="552"/>
      <c r="V259" s="318"/>
      <c r="W259" s="550"/>
      <c r="X259" s="545" t="str">
        <f t="shared" si="22"/>
        <v/>
      </c>
      <c r="Y259" s="546"/>
      <c r="Z259" s="575"/>
      <c r="AA259" s="576"/>
    </row>
    <row r="260" spans="2:27" ht="17.25" customHeight="1" x14ac:dyDescent="0.15">
      <c r="B260" s="564"/>
      <c r="C260" s="349"/>
      <c r="D260" s="565"/>
      <c r="E260" s="23"/>
      <c r="F260" s="1004" t="str">
        <f>IF($B258="","　　年　月",DATE(YEAR($I$27),MONTH($I$27)+2,DAY($I$27)))</f>
        <v>　　年　月</v>
      </c>
      <c r="G260" s="1005"/>
      <c r="H260" s="1006"/>
      <c r="I260" s="551"/>
      <c r="J260" s="551"/>
      <c r="K260" s="552"/>
      <c r="L260" s="318"/>
      <c r="M260" s="550"/>
      <c r="N260" s="545" t="str">
        <f t="shared" si="21"/>
        <v/>
      </c>
      <c r="O260" s="546"/>
      <c r="P260" s="1005" t="str">
        <f>IF($B258="","　　年　月",DATE(YEAR($I$27),MONTH($I$27)+8,DAY($I$27)))</f>
        <v>　　年　月</v>
      </c>
      <c r="Q260" s="1005"/>
      <c r="R260" s="1006"/>
      <c r="S260" s="551"/>
      <c r="T260" s="551"/>
      <c r="U260" s="552"/>
      <c r="V260" s="318"/>
      <c r="W260" s="550"/>
      <c r="X260" s="545" t="str">
        <f t="shared" si="22"/>
        <v/>
      </c>
      <c r="Y260" s="546"/>
      <c r="Z260" s="575"/>
      <c r="AA260" s="576"/>
    </row>
    <row r="261" spans="2:27" ht="17.25" customHeight="1" x14ac:dyDescent="0.15">
      <c r="B261" s="564"/>
      <c r="C261" s="349"/>
      <c r="D261" s="565"/>
      <c r="E261" s="23"/>
      <c r="F261" s="1004" t="str">
        <f>IF($B258="","　　年　月",DATE(YEAR($I$27),MONTH($I$27)+3,DAY($I$27)))</f>
        <v>　　年　月</v>
      </c>
      <c r="G261" s="1005"/>
      <c r="H261" s="1006"/>
      <c r="I261" s="551"/>
      <c r="J261" s="551"/>
      <c r="K261" s="552"/>
      <c r="L261" s="318"/>
      <c r="M261" s="550"/>
      <c r="N261" s="545" t="str">
        <f t="shared" si="21"/>
        <v/>
      </c>
      <c r="O261" s="546"/>
      <c r="P261" s="1005" t="str">
        <f>IF($B258="","　　年　月",DATE(YEAR($I$27),MONTH($I$27)+9,DAY($I$27)))</f>
        <v>　　年　月</v>
      </c>
      <c r="Q261" s="1005"/>
      <c r="R261" s="1006"/>
      <c r="S261" s="551"/>
      <c r="T261" s="551"/>
      <c r="U261" s="552"/>
      <c r="V261" s="318"/>
      <c r="W261" s="550"/>
      <c r="X261" s="545" t="str">
        <f t="shared" si="22"/>
        <v/>
      </c>
      <c r="Y261" s="546"/>
      <c r="Z261" s="575"/>
      <c r="AA261" s="576"/>
    </row>
    <row r="262" spans="2:27" ht="17.25" customHeight="1" x14ac:dyDescent="0.15">
      <c r="B262" s="564"/>
      <c r="C262" s="349"/>
      <c r="D262" s="565"/>
      <c r="E262" s="23"/>
      <c r="F262" s="1004" t="str">
        <f>IF($B258="","　　年　月",DATE(YEAR($I$27),MONTH($I$27)+4,DAY($I$27)))</f>
        <v>　　年　月</v>
      </c>
      <c r="G262" s="1005"/>
      <c r="H262" s="1006"/>
      <c r="I262" s="551"/>
      <c r="J262" s="551"/>
      <c r="K262" s="552"/>
      <c r="L262" s="318"/>
      <c r="M262" s="550"/>
      <c r="N262" s="545" t="str">
        <f t="shared" si="21"/>
        <v/>
      </c>
      <c r="O262" s="546"/>
      <c r="P262" s="1005" t="str">
        <f>IF($B258="","　　年　月",DATE(YEAR($I$27),MONTH($I$27)+10,DAY($I$27)))</f>
        <v>　　年　月</v>
      </c>
      <c r="Q262" s="1005"/>
      <c r="R262" s="1006"/>
      <c r="S262" s="551"/>
      <c r="T262" s="551"/>
      <c r="U262" s="552"/>
      <c r="V262" s="318"/>
      <c r="W262" s="550"/>
      <c r="X262" s="545" t="str">
        <f t="shared" si="22"/>
        <v/>
      </c>
      <c r="Y262" s="546"/>
      <c r="Z262" s="575"/>
      <c r="AA262" s="576"/>
    </row>
    <row r="263" spans="2:27" ht="17.25" customHeight="1" thickBot="1" x14ac:dyDescent="0.2">
      <c r="B263" s="566"/>
      <c r="C263" s="567"/>
      <c r="D263" s="568"/>
      <c r="E263" s="23"/>
      <c r="F263" s="1004" t="str">
        <f>IF($B258="","　　年　月",DATE(YEAR($I$27),MONTH($I$27)+5,DAY($I$27)))</f>
        <v>　　年　月</v>
      </c>
      <c r="G263" s="1005"/>
      <c r="H263" s="1006"/>
      <c r="I263" s="577"/>
      <c r="J263" s="577"/>
      <c r="K263" s="578"/>
      <c r="L263" s="579"/>
      <c r="M263" s="580"/>
      <c r="N263" s="581" t="str">
        <f t="shared" si="21"/>
        <v/>
      </c>
      <c r="O263" s="582"/>
      <c r="P263" s="1005" t="str">
        <f>IF($B258="","　　年　月",DATE(YEAR($I$27),MONTH($I$27)+11,DAY($I$27)))</f>
        <v>　　年　月</v>
      </c>
      <c r="Q263" s="1005"/>
      <c r="R263" s="1006"/>
      <c r="S263" s="577"/>
      <c r="T263" s="577"/>
      <c r="U263" s="578"/>
      <c r="V263" s="579"/>
      <c r="W263" s="580"/>
      <c r="X263" s="583" t="str">
        <f t="shared" si="22"/>
        <v/>
      </c>
      <c r="Y263" s="584"/>
      <c r="Z263" s="575"/>
      <c r="AA263" s="576"/>
    </row>
    <row r="264" spans="2:27" ht="27.75" customHeight="1" thickTop="1" thickBot="1" x14ac:dyDescent="0.2">
      <c r="F264" s="556" t="s">
        <v>189</v>
      </c>
      <c r="G264" s="557"/>
      <c r="H264" s="557"/>
      <c r="I264" s="557"/>
      <c r="J264" s="557"/>
      <c r="K264" s="557"/>
      <c r="L264" s="557"/>
      <c r="M264" s="557"/>
      <c r="N264" s="557"/>
      <c r="O264" s="557"/>
      <c r="P264" s="557"/>
      <c r="Q264" s="557"/>
      <c r="R264" s="557"/>
      <c r="S264" s="557"/>
      <c r="T264" s="557"/>
      <c r="U264" s="557"/>
      <c r="V264" s="557"/>
      <c r="W264" s="558"/>
      <c r="X264" s="559"/>
      <c r="Y264" s="560"/>
      <c r="Z264" s="560"/>
      <c r="AA264" s="561"/>
    </row>
    <row r="265" spans="2:27" ht="17.25" customHeight="1" thickTop="1" x14ac:dyDescent="0.15">
      <c r="AA265" s="35" t="str">
        <f>IF(G23="","",IF(X264="","リストから選択↑　",""))</f>
        <v/>
      </c>
    </row>
    <row r="266" spans="2:27" ht="17.25" customHeight="1" x14ac:dyDescent="0.15"/>
    <row r="267" spans="2:27" ht="17.25" customHeight="1" x14ac:dyDescent="0.15">
      <c r="B267" s="63" t="s">
        <v>199</v>
      </c>
      <c r="C267" s="63"/>
      <c r="D267" s="63"/>
      <c r="E267" s="63"/>
      <c r="F267" s="63"/>
      <c r="G267" s="63"/>
      <c r="H267" s="63"/>
      <c r="I267" s="63"/>
      <c r="J267" s="63"/>
      <c r="K267" s="63"/>
      <c r="L267" s="63"/>
      <c r="M267" s="63"/>
      <c r="N267" s="63"/>
      <c r="O267" s="63"/>
      <c r="P267" s="63"/>
      <c r="Q267" s="63"/>
      <c r="R267" s="63"/>
      <c r="S267" s="63"/>
      <c r="T267" s="63"/>
      <c r="U267" s="63"/>
      <c r="V267" s="63"/>
      <c r="W267" s="63"/>
      <c r="X267" s="63"/>
      <c r="Y267" s="63"/>
      <c r="Z267" s="63"/>
    </row>
    <row r="268" spans="2:27" ht="27.75" customHeight="1" x14ac:dyDescent="0.15">
      <c r="C268" s="562" t="s">
        <v>246</v>
      </c>
      <c r="D268" s="563"/>
      <c r="E268" s="563"/>
      <c r="F268" s="563"/>
      <c r="G268" s="563"/>
      <c r="H268" s="563"/>
      <c r="I268" s="563"/>
      <c r="J268" s="563"/>
      <c r="K268" s="563"/>
      <c r="L268" s="563"/>
      <c r="M268" s="563"/>
      <c r="N268" s="563"/>
      <c r="O268" s="563"/>
      <c r="P268" s="563"/>
      <c r="Q268" s="563"/>
      <c r="R268" s="563"/>
      <c r="S268" s="563"/>
      <c r="T268" s="563"/>
      <c r="U268" s="563"/>
      <c r="V268" s="563"/>
      <c r="W268" s="563"/>
      <c r="X268" s="563"/>
      <c r="Y268" s="563"/>
      <c r="Z268" s="563"/>
      <c r="AA268" s="563"/>
    </row>
    <row r="269" spans="2:27" s="9" customFormat="1" ht="47.25" customHeight="1" x14ac:dyDescent="0.15">
      <c r="B269" s="409" t="s">
        <v>200</v>
      </c>
      <c r="C269" s="367"/>
      <c r="D269" s="368"/>
      <c r="E269" s="93"/>
      <c r="F269" s="409" t="s">
        <v>0</v>
      </c>
      <c r="G269" s="410"/>
      <c r="H269" s="411"/>
      <c r="I269" s="409" t="s">
        <v>190</v>
      </c>
      <c r="J269" s="410"/>
      <c r="K269" s="410"/>
      <c r="L269" s="410"/>
      <c r="M269" s="409" t="s">
        <v>191</v>
      </c>
      <c r="N269" s="410"/>
      <c r="O269" s="410"/>
      <c r="P269" s="411"/>
    </row>
    <row r="270" spans="2:27" ht="17.25" customHeight="1" x14ac:dyDescent="0.15">
      <c r="B270" s="1007" t="str">
        <f>IF(OR($X$237="非該当",$X$264="非該当"),DATE(YEAR($I$27),MONTH($I$27),DAY($I$27)),"")</f>
        <v/>
      </c>
      <c r="C270" s="1008"/>
      <c r="D270" s="1009"/>
      <c r="E270" s="26"/>
      <c r="F270" s="553"/>
      <c r="G270" s="554"/>
      <c r="H270" s="555"/>
      <c r="I270" s="516"/>
      <c r="J270" s="517"/>
      <c r="K270" s="517"/>
      <c r="L270" s="517"/>
      <c r="M270" s="518"/>
      <c r="N270" s="519"/>
      <c r="O270" s="519"/>
      <c r="P270" s="520"/>
      <c r="Q270" s="137" t="str">
        <f>IF(B270="","",IF(M270&gt;0,"","※Ｃ＝（各月の時間外労働時間数(X)の合計）"))</f>
        <v/>
      </c>
      <c r="R270" s="135"/>
      <c r="S270" s="135"/>
      <c r="T270" s="135"/>
      <c r="U270" s="135"/>
      <c r="V270" s="135"/>
      <c r="W270" s="135"/>
      <c r="X270" s="135"/>
      <c r="Y270" s="135"/>
      <c r="Z270" s="135"/>
      <c r="AA270" s="135"/>
    </row>
    <row r="271" spans="2:27" ht="17.25" customHeight="1" x14ac:dyDescent="0.15">
      <c r="B271" s="1010"/>
      <c r="C271" s="1011"/>
      <c r="D271" s="1012"/>
      <c r="E271" s="26"/>
      <c r="F271" s="553"/>
      <c r="G271" s="554"/>
      <c r="H271" s="555"/>
      <c r="I271" s="516"/>
      <c r="J271" s="517"/>
      <c r="K271" s="517"/>
      <c r="L271" s="517"/>
      <c r="M271" s="518"/>
      <c r="N271" s="519"/>
      <c r="O271" s="519"/>
      <c r="P271" s="520"/>
      <c r="Q271" s="138" t="str">
        <f>IF(B270="","",IF(M270&gt;0,"","　　÷（各月の対象労働者数(Y)の合計）"))</f>
        <v/>
      </c>
      <c r="R271" s="136"/>
      <c r="S271" s="136"/>
      <c r="T271" s="136"/>
      <c r="U271" s="136"/>
      <c r="V271" s="136"/>
      <c r="W271" s="136"/>
      <c r="X271" s="136"/>
      <c r="Y271" s="136"/>
      <c r="Z271" s="136"/>
      <c r="AA271" s="136"/>
    </row>
    <row r="272" spans="2:27" ht="17.25" customHeight="1" x14ac:dyDescent="0.15">
      <c r="B272" s="1013"/>
      <c r="C272" s="1014"/>
      <c r="D272" s="1015"/>
      <c r="E272" s="26"/>
      <c r="F272" s="553"/>
      <c r="G272" s="554"/>
      <c r="H272" s="555"/>
      <c r="I272" s="516"/>
      <c r="J272" s="517"/>
      <c r="K272" s="517"/>
      <c r="L272" s="517"/>
      <c r="M272" s="518"/>
      <c r="N272" s="519"/>
      <c r="O272" s="519"/>
      <c r="P272" s="520"/>
    </row>
    <row r="273" spans="2:27" ht="17.25" customHeight="1" x14ac:dyDescent="0.15">
      <c r="B273" s="1007" t="str">
        <f>IF(OR($X$237="非該当",$X$264="非該当"),DATE(YEAR($I$27)-1,MONTH($I$27),DAY($I$27)),"")</f>
        <v/>
      </c>
      <c r="C273" s="1008"/>
      <c r="D273" s="1009"/>
      <c r="E273" s="26"/>
      <c r="F273" s="513" t="str">
        <f>IF(F270="","",F270)</f>
        <v/>
      </c>
      <c r="G273" s="514"/>
      <c r="H273" s="515"/>
      <c r="I273" s="516"/>
      <c r="J273" s="517"/>
      <c r="K273" s="517"/>
      <c r="L273" s="517"/>
      <c r="M273" s="518"/>
      <c r="N273" s="519"/>
      <c r="O273" s="519"/>
      <c r="P273" s="520"/>
    </row>
    <row r="274" spans="2:27" ht="17.25" customHeight="1" x14ac:dyDescent="0.15">
      <c r="B274" s="1010"/>
      <c r="C274" s="1011"/>
      <c r="D274" s="1012"/>
      <c r="E274" s="26"/>
      <c r="F274" s="513" t="str">
        <f>IF(F271="","",F271)</f>
        <v/>
      </c>
      <c r="G274" s="514"/>
      <c r="H274" s="515"/>
      <c r="I274" s="516"/>
      <c r="J274" s="517"/>
      <c r="K274" s="517"/>
      <c r="L274" s="517"/>
      <c r="M274" s="518"/>
      <c r="N274" s="519"/>
      <c r="O274" s="519"/>
      <c r="P274" s="520"/>
    </row>
    <row r="275" spans="2:27" ht="17.25" customHeight="1" x14ac:dyDescent="0.15">
      <c r="B275" s="1013"/>
      <c r="C275" s="1014"/>
      <c r="D275" s="1015"/>
      <c r="E275" s="26"/>
      <c r="F275" s="513" t="str">
        <f>IF(F272="","",F272)</f>
        <v/>
      </c>
      <c r="G275" s="514"/>
      <c r="H275" s="515"/>
      <c r="I275" s="516"/>
      <c r="J275" s="517"/>
      <c r="K275" s="517"/>
      <c r="L275" s="517"/>
      <c r="M275" s="518"/>
      <c r="N275" s="519"/>
      <c r="O275" s="519"/>
      <c r="P275" s="520"/>
      <c r="Q275" s="366" t="s">
        <v>192</v>
      </c>
      <c r="R275" s="367"/>
      <c r="S275" s="367"/>
      <c r="T275" s="367"/>
      <c r="U275" s="367"/>
      <c r="V275" s="367"/>
      <c r="W275" s="367"/>
      <c r="X275" s="367"/>
      <c r="Y275" s="367"/>
      <c r="Z275" s="367"/>
      <c r="AA275" s="368"/>
    </row>
    <row r="276" spans="2:27" ht="17.25" customHeight="1" x14ac:dyDescent="0.15">
      <c r="B276" s="1007" t="str">
        <f>IF(OR($X$237="非該当",$X$264="非該当"),DATE(YEAR($I$27)-2,MONTH($I$27),DAY($I$27)),"")</f>
        <v/>
      </c>
      <c r="C276" s="1008"/>
      <c r="D276" s="1009"/>
      <c r="E276" s="26"/>
      <c r="F276" s="513" t="str">
        <f>IF(F270="","",F270)</f>
        <v/>
      </c>
      <c r="G276" s="514"/>
      <c r="H276" s="515"/>
      <c r="I276" s="516"/>
      <c r="J276" s="517"/>
      <c r="K276" s="517"/>
      <c r="L276" s="517"/>
      <c r="M276" s="518"/>
      <c r="N276" s="519"/>
      <c r="O276" s="519"/>
      <c r="P276" s="520"/>
      <c r="Q276" s="543" t="str">
        <f>IF(B276="","",Q16)</f>
        <v/>
      </c>
      <c r="R276" s="544"/>
      <c r="S276" s="523" t="str">
        <f>IF(F276="","",F276)</f>
        <v/>
      </c>
      <c r="T276" s="524"/>
      <c r="U276" s="525"/>
      <c r="V276" s="526" t="str">
        <f>IF(S276="","",ROUND(SUMIF(F270:H278,S276,I270:L278)/3,2))</f>
        <v/>
      </c>
      <c r="W276" s="527"/>
      <c r="X276" s="528"/>
      <c r="Y276" s="531" t="str">
        <f>IF(S276="","",ROUND(SUMIF(F270:H278,S276,M270:P278)/3,2))</f>
        <v/>
      </c>
      <c r="Z276" s="532"/>
      <c r="AA276" s="533"/>
    </row>
    <row r="277" spans="2:27" ht="17.25" customHeight="1" x14ac:dyDescent="0.15">
      <c r="B277" s="1010"/>
      <c r="C277" s="1011"/>
      <c r="D277" s="1012"/>
      <c r="E277" s="26"/>
      <c r="F277" s="513" t="str">
        <f>IF(F271="","",F271)</f>
        <v/>
      </c>
      <c r="G277" s="514"/>
      <c r="H277" s="515"/>
      <c r="I277" s="516"/>
      <c r="J277" s="517"/>
      <c r="K277" s="517"/>
      <c r="L277" s="517"/>
      <c r="M277" s="518"/>
      <c r="N277" s="519"/>
      <c r="O277" s="519"/>
      <c r="P277" s="520"/>
      <c r="Q277" s="529" t="s">
        <v>77</v>
      </c>
      <c r="R277" s="530"/>
      <c r="S277" s="523" t="str">
        <f t="shared" ref="S277:S281" si="23">IF(F277="","",F277)</f>
        <v/>
      </c>
      <c r="T277" s="524"/>
      <c r="U277" s="525"/>
      <c r="V277" s="526" t="str">
        <f>IF(S277="","",ROUND(SUMIF(F270:H278,S277,I270:L278)/3,2))</f>
        <v/>
      </c>
      <c r="W277" s="527"/>
      <c r="X277" s="528"/>
      <c r="Y277" s="531" t="str">
        <f>IF(S277="","",ROUND(SUMIF(F270:H278,S277,M270:P278)/3,2))</f>
        <v/>
      </c>
      <c r="Z277" s="532"/>
      <c r="AA277" s="533"/>
    </row>
    <row r="278" spans="2:27" ht="17.25" customHeight="1" x14ac:dyDescent="0.15">
      <c r="B278" s="1013"/>
      <c r="C278" s="1014"/>
      <c r="D278" s="1015"/>
      <c r="E278" s="26"/>
      <c r="F278" s="513" t="str">
        <f>IF(F272="","",F272)</f>
        <v/>
      </c>
      <c r="G278" s="514"/>
      <c r="H278" s="515"/>
      <c r="I278" s="516"/>
      <c r="J278" s="517"/>
      <c r="K278" s="517"/>
      <c r="L278" s="517"/>
      <c r="M278" s="518"/>
      <c r="N278" s="519"/>
      <c r="O278" s="519"/>
      <c r="P278" s="520"/>
      <c r="Q278" s="521" t="str">
        <f>IF(B276="","",Q18)</f>
        <v/>
      </c>
      <c r="R278" s="522"/>
      <c r="S278" s="523" t="str">
        <f t="shared" si="23"/>
        <v/>
      </c>
      <c r="T278" s="524"/>
      <c r="U278" s="525"/>
      <c r="V278" s="526" t="str">
        <f>IF(S278="","",ROUND(SUMIF(F270:H278,S278,I270:L278)/3,2))</f>
        <v/>
      </c>
      <c r="W278" s="527"/>
      <c r="X278" s="528"/>
      <c r="Y278" s="531" t="str">
        <f>IF(S278="","",ROUND(SUMIF(F270:H278,S278,M270:P278)/3,2))</f>
        <v/>
      </c>
      <c r="Z278" s="532"/>
      <c r="AA278" s="533"/>
    </row>
    <row r="279" spans="2:27" ht="17.25" customHeight="1" x14ac:dyDescent="0.15">
      <c r="B279" s="1007" t="str">
        <f>IF(OR($X$237="非該当",$X$264="非該当"),DATE(YEAR($I$27)-3,MONTH($I$27),DAY($I$27)),"")</f>
        <v/>
      </c>
      <c r="C279" s="1008"/>
      <c r="D279" s="1009"/>
      <c r="E279" s="26"/>
      <c r="F279" s="513" t="str">
        <f>IF(F276="","",F276)</f>
        <v/>
      </c>
      <c r="G279" s="514"/>
      <c r="H279" s="515"/>
      <c r="I279" s="516"/>
      <c r="J279" s="517"/>
      <c r="K279" s="517"/>
      <c r="L279" s="517"/>
      <c r="M279" s="518"/>
      <c r="N279" s="519"/>
      <c r="O279" s="519"/>
      <c r="P279" s="520"/>
      <c r="Q279" s="543" t="str">
        <f>IF(B279="","",Q17)</f>
        <v/>
      </c>
      <c r="R279" s="544"/>
      <c r="S279" s="523" t="str">
        <f t="shared" si="23"/>
        <v/>
      </c>
      <c r="T279" s="524"/>
      <c r="U279" s="525"/>
      <c r="V279" s="526" t="str">
        <f>IF(S279="","",ROUND(SUMIF(F273:H281,S279,I273:L281)/3,2))</f>
        <v/>
      </c>
      <c r="W279" s="527"/>
      <c r="X279" s="528"/>
      <c r="Y279" s="531" t="str">
        <f>IF(S279="","",ROUND(SUMIF(F273:H281,S279,M273:P281)/3,2))</f>
        <v/>
      </c>
      <c r="Z279" s="532"/>
      <c r="AA279" s="533"/>
    </row>
    <row r="280" spans="2:27" ht="17.25" customHeight="1" x14ac:dyDescent="0.15">
      <c r="B280" s="1010"/>
      <c r="C280" s="1011"/>
      <c r="D280" s="1012"/>
      <c r="E280" s="26"/>
      <c r="F280" s="513" t="str">
        <f>IF(F277="","",F277)</f>
        <v/>
      </c>
      <c r="G280" s="514"/>
      <c r="H280" s="515"/>
      <c r="I280" s="516"/>
      <c r="J280" s="517"/>
      <c r="K280" s="517"/>
      <c r="L280" s="517"/>
      <c r="M280" s="518"/>
      <c r="N280" s="519"/>
      <c r="O280" s="519"/>
      <c r="P280" s="520"/>
      <c r="Q280" s="529" t="s">
        <v>77</v>
      </c>
      <c r="R280" s="530"/>
      <c r="S280" s="523" t="str">
        <f t="shared" si="23"/>
        <v/>
      </c>
      <c r="T280" s="524"/>
      <c r="U280" s="525"/>
      <c r="V280" s="526" t="str">
        <f>IF(S280="","",ROUND(SUMIF(F273:H281,S280,I273:L281)/3,2))</f>
        <v/>
      </c>
      <c r="W280" s="527"/>
      <c r="X280" s="528"/>
      <c r="Y280" s="531" t="str">
        <f>IF(S280="","",ROUND(SUMIF(F273:H281,S280,M273:P281)/3,2))</f>
        <v/>
      </c>
      <c r="Z280" s="532"/>
      <c r="AA280" s="533"/>
    </row>
    <row r="281" spans="2:27" ht="17.25" customHeight="1" x14ac:dyDescent="0.15">
      <c r="B281" s="1013"/>
      <c r="C281" s="1014"/>
      <c r="D281" s="1015"/>
      <c r="E281" s="26"/>
      <c r="F281" s="513" t="str">
        <f>IF(F278="","",F278)</f>
        <v/>
      </c>
      <c r="G281" s="514"/>
      <c r="H281" s="515"/>
      <c r="I281" s="516"/>
      <c r="J281" s="517"/>
      <c r="K281" s="517"/>
      <c r="L281" s="517"/>
      <c r="M281" s="518"/>
      <c r="N281" s="519"/>
      <c r="O281" s="519"/>
      <c r="P281" s="520"/>
      <c r="Q281" s="521" t="str">
        <f>IF(B279="","",Q19)</f>
        <v/>
      </c>
      <c r="R281" s="522"/>
      <c r="S281" s="523" t="str">
        <f t="shared" si="23"/>
        <v/>
      </c>
      <c r="T281" s="524"/>
      <c r="U281" s="525"/>
      <c r="V281" s="526" t="str">
        <f>IF(S281="","",ROUND(SUMIF(F273:H281,S281,I273:L281)/3,2))</f>
        <v/>
      </c>
      <c r="W281" s="527"/>
      <c r="X281" s="528"/>
      <c r="Y281" s="531" t="str">
        <f>IF(S281="","",ROUND(SUMIF(F273:H281,S281,M273:P281)/3,2))</f>
        <v/>
      </c>
      <c r="Z281" s="532"/>
      <c r="AA281" s="533"/>
    </row>
    <row r="282" spans="2:27" ht="17.25" customHeight="1" x14ac:dyDescent="0.15">
      <c r="B282" s="1007" t="str">
        <f>IF(OR($X$237="非該当",$X$264="非該当"),DATE(YEAR($I$27)-4,MONTH($I$27),DAY($I$27)),"")</f>
        <v/>
      </c>
      <c r="C282" s="1008"/>
      <c r="D282" s="1009"/>
      <c r="E282" s="26"/>
      <c r="F282" s="513" t="str">
        <f>IF(F276="","",F276)</f>
        <v/>
      </c>
      <c r="G282" s="514"/>
      <c r="H282" s="515"/>
      <c r="I282" s="516"/>
      <c r="J282" s="517"/>
      <c r="K282" s="517"/>
      <c r="L282" s="517"/>
      <c r="M282" s="518"/>
      <c r="N282" s="519"/>
      <c r="O282" s="519"/>
      <c r="P282" s="520"/>
      <c r="Q282" s="543" t="str">
        <f>IF(B282="","",Q18)</f>
        <v/>
      </c>
      <c r="R282" s="544"/>
      <c r="S282" s="523" t="str">
        <f>IF(F282="","",F282)</f>
        <v/>
      </c>
      <c r="T282" s="524"/>
      <c r="U282" s="525"/>
      <c r="V282" s="526" t="str">
        <f>IF(S282="","",ROUND(SUMIF(F276:H284,S282,I276:L284)/3,2))</f>
        <v/>
      </c>
      <c r="W282" s="527"/>
      <c r="X282" s="528"/>
      <c r="Y282" s="531" t="str">
        <f>IF(S282="","",ROUND(SUMIF(F276:H284,S282,M276:P284)/3,2))</f>
        <v/>
      </c>
      <c r="Z282" s="532"/>
      <c r="AA282" s="533"/>
    </row>
    <row r="283" spans="2:27" ht="17.25" customHeight="1" x14ac:dyDescent="0.15">
      <c r="B283" s="1010"/>
      <c r="C283" s="1011"/>
      <c r="D283" s="1012"/>
      <c r="E283" s="26"/>
      <c r="F283" s="513" t="str">
        <f>IF(F277="","",F277)</f>
        <v/>
      </c>
      <c r="G283" s="514"/>
      <c r="H283" s="515"/>
      <c r="I283" s="516"/>
      <c r="J283" s="517"/>
      <c r="K283" s="517"/>
      <c r="L283" s="517"/>
      <c r="M283" s="518"/>
      <c r="N283" s="519"/>
      <c r="O283" s="519"/>
      <c r="P283" s="520"/>
      <c r="Q283" s="529" t="s">
        <v>77</v>
      </c>
      <c r="R283" s="530"/>
      <c r="S283" s="523" t="str">
        <f t="shared" ref="S283:S284" si="24">IF(F283="","",F283)</f>
        <v/>
      </c>
      <c r="T283" s="524"/>
      <c r="U283" s="525"/>
      <c r="V283" s="526" t="str">
        <f>IF(S283="","",ROUND(SUMIF(F276:H284,S283,I276:L284)/3,2))</f>
        <v/>
      </c>
      <c r="W283" s="527"/>
      <c r="X283" s="528"/>
      <c r="Y283" s="531" t="str">
        <f>IF(S283="","",ROUND(SUMIF(F276:H284,S283,M276:P284)/3,2))</f>
        <v/>
      </c>
      <c r="Z283" s="532"/>
      <c r="AA283" s="533"/>
    </row>
    <row r="284" spans="2:27" ht="17.25" customHeight="1" x14ac:dyDescent="0.15">
      <c r="B284" s="1013"/>
      <c r="C284" s="1014"/>
      <c r="D284" s="1015"/>
      <c r="E284" s="26"/>
      <c r="F284" s="513" t="str">
        <f>IF(F278="","",F278)</f>
        <v/>
      </c>
      <c r="G284" s="514"/>
      <c r="H284" s="515"/>
      <c r="I284" s="516"/>
      <c r="J284" s="517"/>
      <c r="K284" s="517"/>
      <c r="L284" s="517"/>
      <c r="M284" s="518"/>
      <c r="N284" s="519"/>
      <c r="O284" s="519"/>
      <c r="P284" s="520"/>
      <c r="Q284" s="521" t="str">
        <f>IF(B282="","",Q20)</f>
        <v/>
      </c>
      <c r="R284" s="522"/>
      <c r="S284" s="523" t="str">
        <f t="shared" si="24"/>
        <v/>
      </c>
      <c r="T284" s="524"/>
      <c r="U284" s="525"/>
      <c r="V284" s="526" t="str">
        <f>IF(S284="","",ROUND(SUMIF(F276:H284,S284,I276:L284)/3,2))</f>
        <v/>
      </c>
      <c r="W284" s="527"/>
      <c r="X284" s="528"/>
      <c r="Y284" s="531" t="str">
        <f>IF(S284="","",ROUND(SUMIF(F276:H284,S284,M276:P284)/3,2))</f>
        <v/>
      </c>
      <c r="Z284" s="532"/>
      <c r="AA284" s="533"/>
    </row>
    <row r="285" spans="2:27" s="43" customFormat="1" ht="17.25" customHeight="1" x14ac:dyDescent="0.15">
      <c r="B285" s="60"/>
      <c r="C285" s="60"/>
      <c r="D285" s="60"/>
      <c r="E285" s="20"/>
      <c r="F285" s="60"/>
      <c r="G285" s="60"/>
      <c r="H285" s="60"/>
      <c r="I285" s="60"/>
      <c r="J285" s="60"/>
      <c r="K285" s="60"/>
      <c r="L285" s="60"/>
      <c r="M285" s="60"/>
      <c r="N285" s="60"/>
      <c r="O285" s="60"/>
      <c r="P285" s="60"/>
    </row>
    <row r="286" spans="2:27" ht="30.75" customHeight="1" x14ac:dyDescent="0.15">
      <c r="B286" s="2" t="s">
        <v>160</v>
      </c>
      <c r="H286" s="2"/>
      <c r="AA286" s="169" t="str">
        <f>IF(G$23="","",G$23)</f>
        <v/>
      </c>
    </row>
    <row r="287" spans="2:27" s="3" customFormat="1" ht="17.25" customHeight="1" x14ac:dyDescent="0.15">
      <c r="B287" s="372" t="s">
        <v>150</v>
      </c>
      <c r="C287" s="373"/>
      <c r="D287" s="373"/>
      <c r="E287" s="373"/>
      <c r="F287" s="373"/>
      <c r="G287" s="373"/>
      <c r="H287" s="373"/>
      <c r="I287" s="373"/>
      <c r="J287" s="373"/>
      <c r="K287" s="373"/>
      <c r="L287" s="373"/>
      <c r="M287" s="373"/>
      <c r="N287" s="373"/>
      <c r="O287" s="373"/>
      <c r="P287" s="373"/>
      <c r="Q287" s="373"/>
      <c r="R287" s="373"/>
      <c r="S287" s="373"/>
      <c r="T287" s="373"/>
      <c r="U287" s="373"/>
      <c r="V287" s="373"/>
      <c r="W287" s="373"/>
      <c r="X287" s="373"/>
      <c r="Y287" s="373"/>
      <c r="Z287" s="373"/>
      <c r="AA287" s="374"/>
    </row>
    <row r="288" spans="2:27" s="13" customFormat="1" ht="17.25" customHeight="1" x14ac:dyDescent="0.15">
      <c r="B288" s="354" t="s">
        <v>132</v>
      </c>
      <c r="C288" s="355"/>
      <c r="D288" s="355"/>
      <c r="E288" s="355"/>
      <c r="F288" s="355"/>
      <c r="G288" s="355"/>
      <c r="H288" s="355"/>
      <c r="I288" s="355"/>
      <c r="J288" s="355"/>
      <c r="K288" s="355"/>
      <c r="L288" s="355"/>
      <c r="M288" s="355"/>
      <c r="N288" s="355"/>
      <c r="O288" s="355"/>
      <c r="P288" s="355"/>
      <c r="Q288" s="355"/>
      <c r="R288" s="355"/>
      <c r="S288" s="355"/>
      <c r="T288" s="355"/>
      <c r="U288" s="355"/>
      <c r="V288" s="355"/>
      <c r="W288" s="355"/>
      <c r="X288" s="355"/>
      <c r="Y288" s="355"/>
      <c r="Z288" s="355"/>
      <c r="AA288" s="356"/>
    </row>
    <row r="289" spans="2:28" s="13" customFormat="1" ht="17.25" customHeight="1" x14ac:dyDescent="0.15">
      <c r="B289" s="357" t="s">
        <v>133</v>
      </c>
      <c r="C289" s="509"/>
      <c r="D289" s="509"/>
      <c r="E289" s="509"/>
      <c r="F289" s="509"/>
      <c r="G289" s="509"/>
      <c r="H289" s="509"/>
      <c r="I289" s="509"/>
      <c r="J289" s="509"/>
      <c r="K289" s="509"/>
      <c r="L289" s="509"/>
      <c r="M289" s="509"/>
      <c r="N289" s="509"/>
      <c r="O289" s="509"/>
      <c r="P289" s="509"/>
      <c r="Q289" s="509"/>
      <c r="R289" s="509"/>
      <c r="S289" s="509"/>
      <c r="T289" s="509"/>
      <c r="U289" s="509"/>
      <c r="V289" s="509"/>
      <c r="W289" s="509"/>
      <c r="X289" s="509"/>
      <c r="Y289" s="509"/>
      <c r="Z289" s="509"/>
      <c r="AA289" s="510"/>
    </row>
    <row r="290" spans="2:28" s="13" customFormat="1" ht="27" customHeight="1" x14ac:dyDescent="0.15">
      <c r="B290" s="360" t="s">
        <v>145</v>
      </c>
      <c r="C290" s="511"/>
      <c r="D290" s="511"/>
      <c r="E290" s="511"/>
      <c r="F290" s="511"/>
      <c r="G290" s="511"/>
      <c r="H290" s="511"/>
      <c r="I290" s="511"/>
      <c r="J290" s="511"/>
      <c r="K290" s="511"/>
      <c r="L290" s="511"/>
      <c r="M290" s="511"/>
      <c r="N290" s="511"/>
      <c r="O290" s="511"/>
      <c r="P290" s="511"/>
      <c r="Q290" s="511"/>
      <c r="R290" s="511"/>
      <c r="S290" s="511"/>
      <c r="T290" s="511"/>
      <c r="U290" s="511"/>
      <c r="V290" s="511"/>
      <c r="W290" s="511"/>
      <c r="X290" s="511"/>
      <c r="Y290" s="511"/>
      <c r="Z290" s="511"/>
      <c r="AA290" s="512"/>
    </row>
    <row r="291" spans="2:28" ht="17.25" customHeight="1" x14ac:dyDescent="0.15"/>
    <row r="292" spans="2:28" ht="17.25" customHeight="1" thickBot="1" x14ac:dyDescent="0.2">
      <c r="B292" s="18" t="s">
        <v>134</v>
      </c>
    </row>
    <row r="293" spans="2:28" s="9" customFormat="1" ht="47.25" customHeight="1" thickTop="1" x14ac:dyDescent="0.15">
      <c r="B293" s="409" t="s">
        <v>5</v>
      </c>
      <c r="C293" s="367"/>
      <c r="D293" s="368"/>
      <c r="E293" s="93"/>
      <c r="F293" s="409" t="s">
        <v>24</v>
      </c>
      <c r="G293" s="410"/>
      <c r="H293" s="411"/>
      <c r="I293" s="409" t="s">
        <v>25</v>
      </c>
      <c r="J293" s="367"/>
      <c r="K293" s="368"/>
      <c r="L293" s="366" t="s">
        <v>26</v>
      </c>
      <c r="M293" s="367"/>
      <c r="N293" s="367"/>
      <c r="O293" s="478" t="s">
        <v>27</v>
      </c>
      <c r="P293" s="479"/>
      <c r="Q293" s="480"/>
      <c r="R293" s="478" t="s">
        <v>237</v>
      </c>
      <c r="S293" s="779"/>
      <c r="T293" s="779"/>
      <c r="U293" s="779"/>
      <c r="V293" s="779"/>
      <c r="W293" s="780"/>
      <c r="X293" s="478" t="s">
        <v>35</v>
      </c>
      <c r="Y293" s="480"/>
    </row>
    <row r="294" spans="2:28" s="9" customFormat="1" ht="17.25" customHeight="1" x14ac:dyDescent="0.15">
      <c r="B294" s="974" t="str">
        <f>IF($I$27="","",$I$27)</f>
        <v/>
      </c>
      <c r="C294" s="975"/>
      <c r="D294" s="976"/>
      <c r="E294" s="26"/>
      <c r="F294" s="491"/>
      <c r="G294" s="492"/>
      <c r="H294" s="493"/>
      <c r="I294" s="491"/>
      <c r="J294" s="492"/>
      <c r="K294" s="493"/>
      <c r="L294" s="497" t="str">
        <f>IF(B294="","",F294+I294)</f>
        <v/>
      </c>
      <c r="M294" s="498"/>
      <c r="N294" s="499"/>
      <c r="O294" s="503" t="str">
        <f>IF(B294="","",IF(L294&lt;1,0,ROUND(F294/L294,3)))</f>
        <v/>
      </c>
      <c r="P294" s="504"/>
      <c r="Q294" s="505"/>
      <c r="R294" s="815" t="str">
        <f>IF(B294="","",IF(R26="",R25,R26))</f>
        <v/>
      </c>
      <c r="S294" s="816"/>
      <c r="T294" s="816"/>
      <c r="U294" s="816"/>
      <c r="V294" s="816"/>
      <c r="W294" s="817"/>
      <c r="X294" s="481"/>
      <c r="Y294" s="482"/>
    </row>
    <row r="295" spans="2:28" s="9" customFormat="1" ht="17.25" customHeight="1" thickBot="1" x14ac:dyDescent="0.2">
      <c r="B295" s="977"/>
      <c r="C295" s="978"/>
      <c r="D295" s="979"/>
      <c r="E295" s="26"/>
      <c r="F295" s="494"/>
      <c r="G295" s="495"/>
      <c r="H295" s="496"/>
      <c r="I295" s="494"/>
      <c r="J295" s="495"/>
      <c r="K295" s="496"/>
      <c r="L295" s="500"/>
      <c r="M295" s="501"/>
      <c r="N295" s="502"/>
      <c r="O295" s="506"/>
      <c r="P295" s="507"/>
      <c r="Q295" s="508"/>
      <c r="R295" s="930"/>
      <c r="S295" s="931"/>
      <c r="T295" s="931"/>
      <c r="U295" s="931"/>
      <c r="V295" s="931"/>
      <c r="W295" s="932"/>
      <c r="X295" s="483"/>
      <c r="Y295" s="484"/>
    </row>
    <row r="296" spans="2:28" ht="17.25" customHeight="1" thickTop="1" x14ac:dyDescent="0.15">
      <c r="S296" s="10" t="str">
        <f>IF(G23="","",IF(G23="","",IF(R295="","上段に産業分類（製造業は中分類）を、下段に産業平均値を記載↑","")))</f>
        <v/>
      </c>
      <c r="Y296" s="35" t="str">
        <f>IF(G23="","",IF(X294="","リストから選択↑　",""))</f>
        <v/>
      </c>
    </row>
    <row r="297" spans="2:28" ht="17.25" customHeight="1" x14ac:dyDescent="0.15">
      <c r="B297" s="9" t="s">
        <v>201</v>
      </c>
      <c r="S297" s="10"/>
      <c r="T297" s="10"/>
      <c r="U297" s="10"/>
      <c r="V297" s="10"/>
      <c r="W297" s="10"/>
      <c r="X297" s="10"/>
      <c r="Y297" s="10"/>
      <c r="AB297" s="10"/>
    </row>
    <row r="298" spans="2:28" s="9" customFormat="1" ht="47.25" customHeight="1" x14ac:dyDescent="0.15">
      <c r="B298" s="409" t="s">
        <v>136</v>
      </c>
      <c r="C298" s="367"/>
      <c r="D298" s="368"/>
      <c r="E298" s="93"/>
      <c r="F298" s="409" t="s">
        <v>24</v>
      </c>
      <c r="G298" s="410"/>
      <c r="H298" s="411"/>
      <c r="I298" s="409" t="s">
        <v>25</v>
      </c>
      <c r="J298" s="367"/>
      <c r="K298" s="368"/>
      <c r="L298" s="366" t="s">
        <v>26</v>
      </c>
      <c r="M298" s="367"/>
      <c r="N298" s="367"/>
      <c r="O298" s="409" t="s">
        <v>27</v>
      </c>
      <c r="P298" s="367"/>
      <c r="Q298" s="368"/>
    </row>
    <row r="299" spans="2:28" s="9" customFormat="1" ht="17.25" customHeight="1" x14ac:dyDescent="0.15">
      <c r="B299" s="980" t="str">
        <f>IF(OR($X$294="非該当",$X$294="算出不能"),DATE(YEAR($I$27)-1,MONTH($I$27),DAY($I$27)),"")</f>
        <v/>
      </c>
      <c r="C299" s="981"/>
      <c r="D299" s="982"/>
      <c r="E299" s="26"/>
      <c r="F299" s="454"/>
      <c r="G299" s="455"/>
      <c r="H299" s="456"/>
      <c r="I299" s="454"/>
      <c r="J299" s="455"/>
      <c r="K299" s="456"/>
      <c r="L299" s="457" t="str">
        <f>IF(B299="","",F299+I299)</f>
        <v/>
      </c>
      <c r="M299" s="458"/>
      <c r="N299" s="459"/>
      <c r="O299" s="460" t="str">
        <f>IF(B299="","",IF(L299&lt;1,0,ROUND(F299/L299,3)))</f>
        <v/>
      </c>
      <c r="P299" s="461"/>
      <c r="Q299" s="462"/>
      <c r="R299" s="366" t="s">
        <v>187</v>
      </c>
      <c r="S299" s="367"/>
      <c r="T299" s="367"/>
      <c r="U299" s="367"/>
      <c r="V299" s="367"/>
      <c r="W299" s="367"/>
      <c r="X299" s="367"/>
      <c r="Y299" s="368"/>
    </row>
    <row r="300" spans="2:28" s="9" customFormat="1" ht="17.25" customHeight="1" x14ac:dyDescent="0.15">
      <c r="B300" s="980" t="str">
        <f>IF(OR($X$294="非該当",$X$294="算出不能"),DATE(YEAR($I$27)-2,MONTH($I$27),DAY($I$27)),"")</f>
        <v/>
      </c>
      <c r="C300" s="981"/>
      <c r="D300" s="982"/>
      <c r="E300" s="26"/>
      <c r="F300" s="454"/>
      <c r="G300" s="455"/>
      <c r="H300" s="456"/>
      <c r="I300" s="454"/>
      <c r="J300" s="455"/>
      <c r="K300" s="456"/>
      <c r="L300" s="457" t="str">
        <f>IF(B300="","",F300+I300)</f>
        <v/>
      </c>
      <c r="M300" s="458"/>
      <c r="N300" s="459"/>
      <c r="O300" s="460" t="str">
        <f t="shared" ref="O300:O302" si="25">IF(B300="","",IF(L300&lt;1,0,ROUND(F300/L300,3)))</f>
        <v/>
      </c>
      <c r="P300" s="461"/>
      <c r="Q300" s="462"/>
      <c r="R300" s="468" t="str">
        <f>IF(B300="","～",P16&amp;"～"&amp;Q18)</f>
        <v>～</v>
      </c>
      <c r="S300" s="469"/>
      <c r="T300" s="469"/>
      <c r="U300" s="469"/>
      <c r="V300" s="470"/>
      <c r="W300" s="460" t="str">
        <f>IF(B300="","",ROUND(AVERAGE(O294,O299,O300),3))</f>
        <v/>
      </c>
      <c r="X300" s="461"/>
      <c r="Y300" s="462"/>
    </row>
    <row r="301" spans="2:28" s="9" customFormat="1" ht="17.25" customHeight="1" x14ac:dyDescent="0.15">
      <c r="B301" s="980" t="str">
        <f>IF(OR($X$294="非該当",$X$294="算出不能"),DATE(YEAR($I$27)-3,MONTH($I$27),DAY($I$27)),"")</f>
        <v/>
      </c>
      <c r="C301" s="981"/>
      <c r="D301" s="982"/>
      <c r="E301" s="26"/>
      <c r="F301" s="454"/>
      <c r="G301" s="455"/>
      <c r="H301" s="456"/>
      <c r="I301" s="454"/>
      <c r="J301" s="455"/>
      <c r="K301" s="456"/>
      <c r="L301" s="457" t="str">
        <f>IF(B301="","",F301+I301)</f>
        <v/>
      </c>
      <c r="M301" s="458"/>
      <c r="N301" s="459"/>
      <c r="O301" s="460" t="str">
        <f t="shared" si="25"/>
        <v/>
      </c>
      <c r="P301" s="461"/>
      <c r="Q301" s="462"/>
      <c r="R301" s="468" t="str">
        <f>IF(B301="","～",P17&amp;"～"&amp;Q19)</f>
        <v>～</v>
      </c>
      <c r="S301" s="469"/>
      <c r="T301" s="469"/>
      <c r="U301" s="469"/>
      <c r="V301" s="470"/>
      <c r="W301" s="460" t="str">
        <f>IF(B301="","",ROUND(AVERAGE(O299,O300,O301),3))</f>
        <v/>
      </c>
      <c r="X301" s="461"/>
      <c r="Y301" s="462"/>
    </row>
    <row r="302" spans="2:28" s="9" customFormat="1" ht="17.25" customHeight="1" x14ac:dyDescent="0.15">
      <c r="B302" s="980" t="str">
        <f>IF(OR($X$294="非該当",$X$294="算出不能"),DATE(YEAR($I$27)-4,MONTH($I$27),DAY($I$27)),"")</f>
        <v/>
      </c>
      <c r="C302" s="981"/>
      <c r="D302" s="982"/>
      <c r="E302" s="26"/>
      <c r="F302" s="454"/>
      <c r="G302" s="455"/>
      <c r="H302" s="456"/>
      <c r="I302" s="454"/>
      <c r="J302" s="455"/>
      <c r="K302" s="456"/>
      <c r="L302" s="457">
        <v>2</v>
      </c>
      <c r="M302" s="458"/>
      <c r="N302" s="459"/>
      <c r="O302" s="460" t="str">
        <f t="shared" si="25"/>
        <v/>
      </c>
      <c r="P302" s="461"/>
      <c r="Q302" s="462"/>
      <c r="R302" s="468" t="str">
        <f>IF(B302="","～",P18&amp;"～"&amp;Q20)</f>
        <v>～</v>
      </c>
      <c r="S302" s="469"/>
      <c r="T302" s="469"/>
      <c r="U302" s="469"/>
      <c r="V302" s="470"/>
      <c r="W302" s="460" t="str">
        <f>IF(B302="","",ROUND(AVERAGE(O300,O301,O302),3))</f>
        <v/>
      </c>
      <c r="X302" s="461"/>
      <c r="Y302" s="462"/>
    </row>
    <row r="303" spans="2:28" s="43" customFormat="1" ht="17.25" customHeight="1" x14ac:dyDescent="0.15">
      <c r="E303" s="20"/>
    </row>
    <row r="304" spans="2:28" ht="17.25" customHeight="1" x14ac:dyDescent="0.15">
      <c r="I304" s="15"/>
      <c r="J304" s="15"/>
      <c r="K304" s="15"/>
    </row>
    <row r="305" spans="2:27" ht="17.25" customHeight="1" x14ac:dyDescent="0.15">
      <c r="B305" s="18" t="s">
        <v>135</v>
      </c>
      <c r="J305" s="16"/>
    </row>
    <row r="306" spans="2:27" ht="17.25" customHeight="1" thickBot="1" x14ac:dyDescent="0.2">
      <c r="G306" s="449" t="s">
        <v>40</v>
      </c>
      <c r="H306" s="450"/>
      <c r="I306" s="450"/>
      <c r="J306" s="450"/>
      <c r="K306" s="450"/>
      <c r="L306" s="450"/>
      <c r="M306" s="450"/>
      <c r="N306" s="451"/>
      <c r="O306" s="449" t="s">
        <v>41</v>
      </c>
      <c r="P306" s="450"/>
      <c r="Q306" s="450"/>
      <c r="R306" s="450"/>
      <c r="S306" s="450"/>
      <c r="T306" s="450"/>
      <c r="U306" s="450"/>
      <c r="V306" s="451"/>
    </row>
    <row r="307" spans="2:27" s="9" customFormat="1" ht="54" customHeight="1" thickTop="1" x14ac:dyDescent="0.15">
      <c r="B307" s="366" t="s">
        <v>68</v>
      </c>
      <c r="C307" s="367"/>
      <c r="D307" s="367"/>
      <c r="E307" s="367"/>
      <c r="F307" s="368"/>
      <c r="G307" s="409" t="s">
        <v>28</v>
      </c>
      <c r="H307" s="411"/>
      <c r="I307" s="409" t="s">
        <v>29</v>
      </c>
      <c r="J307" s="411"/>
      <c r="K307" s="366" t="s">
        <v>30</v>
      </c>
      <c r="L307" s="368"/>
      <c r="M307" s="452" t="s">
        <v>31</v>
      </c>
      <c r="N307" s="453"/>
      <c r="O307" s="409" t="s">
        <v>28</v>
      </c>
      <c r="P307" s="411"/>
      <c r="Q307" s="409" t="s">
        <v>29</v>
      </c>
      <c r="R307" s="411"/>
      <c r="S307" s="366" t="s">
        <v>30</v>
      </c>
      <c r="T307" s="368"/>
      <c r="U307" s="409" t="s">
        <v>32</v>
      </c>
      <c r="V307" s="367"/>
      <c r="W307" s="478" t="s">
        <v>33</v>
      </c>
      <c r="X307" s="479"/>
      <c r="Y307" s="480"/>
      <c r="Z307" s="419" t="s">
        <v>175</v>
      </c>
      <c r="AA307" s="420"/>
    </row>
    <row r="308" spans="2:27" ht="17.25" customHeight="1" x14ac:dyDescent="0.15">
      <c r="B308" s="1016" t="str">
        <f>IF($I$27="","",$I$27)</f>
        <v/>
      </c>
      <c r="C308" s="1017"/>
      <c r="D308" s="1017"/>
      <c r="E308" s="1017"/>
      <c r="F308" s="1018"/>
      <c r="G308" s="463"/>
      <c r="H308" s="464"/>
      <c r="I308" s="463"/>
      <c r="J308" s="464"/>
      <c r="K308" s="427" t="str">
        <f>IF(B308="","",IF(I308&lt;1,0,ROUND(G308/I308,2)))</f>
        <v/>
      </c>
      <c r="L308" s="428"/>
      <c r="M308" s="429" t="str">
        <f>IF(B308="","",ROUND(SUM(K308:L310)/3,3))</f>
        <v/>
      </c>
      <c r="N308" s="430"/>
      <c r="O308" s="463"/>
      <c r="P308" s="464"/>
      <c r="Q308" s="463"/>
      <c r="R308" s="464"/>
      <c r="S308" s="427" t="str">
        <f>IF(B308="","",IF(Q308&lt;1,0,ROUND(O308/Q308,2)))</f>
        <v/>
      </c>
      <c r="T308" s="428"/>
      <c r="U308" s="429" t="str">
        <f>IF(B308="","",ROUND(SUM(S308:T310)/3,3))</f>
        <v/>
      </c>
      <c r="V308" s="465"/>
      <c r="W308" s="471" t="str">
        <f>IF(B308="","",IF(U308=0,0,ROUND(M308/U308,2)))</f>
        <v/>
      </c>
      <c r="X308" s="436"/>
      <c r="Y308" s="472"/>
      <c r="Z308" s="421"/>
      <c r="AA308" s="422"/>
    </row>
    <row r="309" spans="2:27" ht="17.25" customHeight="1" x14ac:dyDescent="0.15">
      <c r="B309" s="1016" t="str">
        <f>IF($I$27="","",DATE(YEAR($I$27)-1,MONTH($I$27),DAY($I$27)))</f>
        <v/>
      </c>
      <c r="C309" s="1017"/>
      <c r="D309" s="1017"/>
      <c r="E309" s="1017"/>
      <c r="F309" s="1018"/>
      <c r="G309" s="463"/>
      <c r="H309" s="464"/>
      <c r="I309" s="463"/>
      <c r="J309" s="464"/>
      <c r="K309" s="427" t="str">
        <f t="shared" ref="K309" si="26">IF(B309="","",IF(I309&lt;1,0,ROUND(G309/I309,2)))</f>
        <v/>
      </c>
      <c r="L309" s="428"/>
      <c r="M309" s="431"/>
      <c r="N309" s="432"/>
      <c r="O309" s="463"/>
      <c r="P309" s="464"/>
      <c r="Q309" s="463"/>
      <c r="R309" s="464"/>
      <c r="S309" s="427" t="str">
        <f t="shared" ref="S309:S310" si="27">IF(B309="","",IF(Q309&lt;1,0,ROUND(O309/Q309,2)))</f>
        <v/>
      </c>
      <c r="T309" s="428"/>
      <c r="U309" s="431"/>
      <c r="V309" s="466"/>
      <c r="W309" s="473"/>
      <c r="X309" s="439"/>
      <c r="Y309" s="474"/>
      <c r="Z309" s="423"/>
      <c r="AA309" s="424"/>
    </row>
    <row r="310" spans="2:27" ht="17.25" customHeight="1" thickBot="1" x14ac:dyDescent="0.2">
      <c r="B310" s="1016" t="str">
        <f>IF($I$27="","",DATE(YEAR($I$27)-2,MONTH($I$27),DAY($I$27)))</f>
        <v/>
      </c>
      <c r="C310" s="1017"/>
      <c r="D310" s="1017"/>
      <c r="E310" s="1017"/>
      <c r="F310" s="1018"/>
      <c r="G310" s="463"/>
      <c r="H310" s="464"/>
      <c r="I310" s="463"/>
      <c r="J310" s="464"/>
      <c r="K310" s="427" t="str">
        <f>IF(B310="","",IF(I310&lt;1,0,ROUND(G310/I310,2)))</f>
        <v/>
      </c>
      <c r="L310" s="428"/>
      <c r="M310" s="433"/>
      <c r="N310" s="434"/>
      <c r="O310" s="463"/>
      <c r="P310" s="464"/>
      <c r="Q310" s="463"/>
      <c r="R310" s="464"/>
      <c r="S310" s="427" t="str">
        <f t="shared" si="27"/>
        <v/>
      </c>
      <c r="T310" s="428"/>
      <c r="U310" s="433"/>
      <c r="V310" s="467"/>
      <c r="W310" s="475"/>
      <c r="X310" s="476"/>
      <c r="Y310" s="477"/>
      <c r="Z310" s="425"/>
      <c r="AA310" s="426"/>
    </row>
    <row r="311" spans="2:27" ht="17.25" customHeight="1" thickTop="1" x14ac:dyDescent="0.15">
      <c r="AA311" s="35" t="str">
        <f>IF(G23="","",IF(Z308="","リストから選択↑　",""))</f>
        <v/>
      </c>
    </row>
    <row r="312" spans="2:27" ht="17.25" customHeight="1" x14ac:dyDescent="0.15">
      <c r="B312" s="9" t="s">
        <v>202</v>
      </c>
    </row>
    <row r="313" spans="2:27" ht="17.25" customHeight="1" x14ac:dyDescent="0.15">
      <c r="G313" s="449" t="s">
        <v>40</v>
      </c>
      <c r="H313" s="450"/>
      <c r="I313" s="450"/>
      <c r="J313" s="450"/>
      <c r="K313" s="450"/>
      <c r="L313" s="450"/>
      <c r="M313" s="450"/>
      <c r="N313" s="451"/>
      <c r="O313" s="449" t="s">
        <v>41</v>
      </c>
      <c r="P313" s="450"/>
      <c r="Q313" s="450"/>
      <c r="R313" s="450"/>
      <c r="S313" s="450"/>
      <c r="T313" s="450"/>
      <c r="U313" s="450"/>
      <c r="V313" s="451"/>
    </row>
    <row r="314" spans="2:27" s="9" customFormat="1" ht="54" customHeight="1" x14ac:dyDescent="0.15">
      <c r="B314" s="409" t="s">
        <v>218</v>
      </c>
      <c r="C314" s="367"/>
      <c r="D314" s="367"/>
      <c r="E314" s="367"/>
      <c r="F314" s="368"/>
      <c r="G314" s="409" t="s">
        <v>28</v>
      </c>
      <c r="H314" s="411"/>
      <c r="I314" s="409" t="s">
        <v>29</v>
      </c>
      <c r="J314" s="411"/>
      <c r="K314" s="366" t="s">
        <v>30</v>
      </c>
      <c r="L314" s="368"/>
      <c r="M314" s="452" t="s">
        <v>31</v>
      </c>
      <c r="N314" s="453"/>
      <c r="O314" s="409" t="s">
        <v>28</v>
      </c>
      <c r="P314" s="411"/>
      <c r="Q314" s="409" t="s">
        <v>29</v>
      </c>
      <c r="R314" s="411"/>
      <c r="S314" s="366" t="s">
        <v>30</v>
      </c>
      <c r="T314" s="368"/>
      <c r="U314" s="409" t="s">
        <v>32</v>
      </c>
      <c r="V314" s="367"/>
      <c r="W314" s="409" t="s">
        <v>33</v>
      </c>
      <c r="X314" s="367"/>
      <c r="Y314" s="368"/>
      <c r="Z314" s="1"/>
      <c r="AA314" s="1"/>
    </row>
    <row r="315" spans="2:27" ht="17.25" customHeight="1" x14ac:dyDescent="0.15">
      <c r="B315" s="375" t="s">
        <v>193</v>
      </c>
      <c r="C315" s="376"/>
      <c r="D315" s="972" t="str">
        <f>IF(OR($Z$308="非該当",$Z$308="算出不能"),DATE(YEAR($I$27)-1,MONTH($I$27),DAY($I$27)),"")</f>
        <v/>
      </c>
      <c r="E315" s="1019"/>
      <c r="F315" s="973"/>
      <c r="G315" s="318" t="str">
        <f>IF($D$315="","",G309)</f>
        <v/>
      </c>
      <c r="H315" s="319"/>
      <c r="I315" s="318" t="str">
        <f>IF($D$315="","",I309)</f>
        <v/>
      </c>
      <c r="J315" s="319"/>
      <c r="K315" s="427" t="str">
        <f>IF(D315="","",IF(I315&lt;1,0,ROUND(G315/I315,2)))</f>
        <v/>
      </c>
      <c r="L315" s="428"/>
      <c r="M315" s="429" t="str">
        <f>IF(D315="","",ROUND(SUM(K315:L317)/3,3))</f>
        <v/>
      </c>
      <c r="N315" s="430"/>
      <c r="O315" s="318" t="str">
        <f>IF($D$315="","",O309)</f>
        <v/>
      </c>
      <c r="P315" s="319"/>
      <c r="Q315" s="318" t="str">
        <f>IF($D$315="","",Q309)</f>
        <v/>
      </c>
      <c r="R315" s="319"/>
      <c r="S315" s="427" t="str">
        <f>IF(D315="","",IF(Q315&lt;1,0,ROUND(O315/Q315,2)))</f>
        <v/>
      </c>
      <c r="T315" s="428"/>
      <c r="U315" s="429" t="str">
        <f>IF(D315="","",ROUND(SUM(S315:T317)/3,3))</f>
        <v/>
      </c>
      <c r="V315" s="430"/>
      <c r="W315" s="435" t="str">
        <f>IF(D315="","",IF(U315=0,0,ROUND(M315/U315,2)))</f>
        <v/>
      </c>
      <c r="X315" s="436"/>
      <c r="Y315" s="437"/>
    </row>
    <row r="316" spans="2:27" ht="17.25" customHeight="1" x14ac:dyDescent="0.15">
      <c r="B316" s="377"/>
      <c r="C316" s="378"/>
      <c r="D316" s="972" t="str">
        <f>IF(OR($Z$308="非該当",$Z$308="算出不能"),DATE(YEAR($I$27)-2,MONTH($I$27),DAY($I$27)),"")</f>
        <v/>
      </c>
      <c r="E316" s="1019"/>
      <c r="F316" s="973"/>
      <c r="G316" s="318" t="str">
        <f>IF($D$315="","",G310)</f>
        <v/>
      </c>
      <c r="H316" s="319"/>
      <c r="I316" s="318" t="str">
        <f>IF($D$315="","",I310)</f>
        <v/>
      </c>
      <c r="J316" s="319"/>
      <c r="K316" s="427" t="str">
        <f t="shared" ref="K316:K320" si="28">IF(D316="","",IF(I316&lt;1,0,ROUND(G316/I316,2)))</f>
        <v/>
      </c>
      <c r="L316" s="428"/>
      <c r="M316" s="431"/>
      <c r="N316" s="432"/>
      <c r="O316" s="318" t="str">
        <f>IF($D$315="","",O310)</f>
        <v/>
      </c>
      <c r="P316" s="319"/>
      <c r="Q316" s="318" t="str">
        <f>IF($D$315="","",Q310)</f>
        <v/>
      </c>
      <c r="R316" s="319"/>
      <c r="S316" s="427" t="str">
        <f t="shared" ref="S316:S320" si="29">IF(D316="","",IF(Q316&lt;1,0,ROUND(O316/Q316,2)))</f>
        <v/>
      </c>
      <c r="T316" s="428"/>
      <c r="U316" s="431"/>
      <c r="V316" s="432"/>
      <c r="W316" s="438"/>
      <c r="X316" s="439"/>
      <c r="Y316" s="440"/>
    </row>
    <row r="317" spans="2:27" ht="17.25" customHeight="1" x14ac:dyDescent="0.15">
      <c r="B317" s="379"/>
      <c r="C317" s="380"/>
      <c r="D317" s="972" t="str">
        <f>IF(OR($Z$308="非該当",$Z$308="算出不能"),DATE(YEAR($I$27)-3,MONTH($I$27),DAY($I$27)),"")</f>
        <v/>
      </c>
      <c r="E317" s="1019"/>
      <c r="F317" s="973"/>
      <c r="G317" s="318"/>
      <c r="H317" s="319"/>
      <c r="I317" s="318"/>
      <c r="J317" s="319"/>
      <c r="K317" s="427" t="str">
        <f t="shared" si="28"/>
        <v/>
      </c>
      <c r="L317" s="428"/>
      <c r="M317" s="433"/>
      <c r="N317" s="434"/>
      <c r="O317" s="318"/>
      <c r="P317" s="319"/>
      <c r="Q317" s="318"/>
      <c r="R317" s="319"/>
      <c r="S317" s="427" t="str">
        <f t="shared" si="29"/>
        <v/>
      </c>
      <c r="T317" s="428"/>
      <c r="U317" s="433"/>
      <c r="V317" s="434"/>
      <c r="W317" s="441"/>
      <c r="X317" s="442"/>
      <c r="Y317" s="443"/>
    </row>
    <row r="318" spans="2:27" ht="17.25" customHeight="1" x14ac:dyDescent="0.15">
      <c r="B318" s="375" t="s">
        <v>46</v>
      </c>
      <c r="C318" s="376"/>
      <c r="D318" s="972" t="str">
        <f>IF(OR($Z$308="非該当",$Z$308="算出不能"),DATE(YEAR($I$27)-2,MONTH($I$27),DAY($I$27)),"")</f>
        <v/>
      </c>
      <c r="E318" s="1019"/>
      <c r="F318" s="973"/>
      <c r="G318" s="447" t="str">
        <f>IF($D$318="","",G316)</f>
        <v/>
      </c>
      <c r="H318" s="448"/>
      <c r="I318" s="447" t="str">
        <f>IF($D$318="","",I316)</f>
        <v/>
      </c>
      <c r="J318" s="448"/>
      <c r="K318" s="427" t="str">
        <f t="shared" si="28"/>
        <v/>
      </c>
      <c r="L318" s="428"/>
      <c r="M318" s="429" t="str">
        <f>IF(D318="","",ROUND(SUM(K318:L320)/3,3))</f>
        <v/>
      </c>
      <c r="N318" s="430"/>
      <c r="O318" s="447" t="str">
        <f>IF($D$318="","",O316)</f>
        <v/>
      </c>
      <c r="P318" s="448"/>
      <c r="Q318" s="447" t="str">
        <f>IF($D$318="","",Q316)</f>
        <v/>
      </c>
      <c r="R318" s="448"/>
      <c r="S318" s="427" t="str">
        <f t="shared" si="29"/>
        <v/>
      </c>
      <c r="T318" s="428"/>
      <c r="U318" s="429" t="str">
        <f>IF(D318="","",ROUND(SUM(S318:T320)/3,3))</f>
        <v/>
      </c>
      <c r="V318" s="430"/>
      <c r="W318" s="435" t="str">
        <f>IF(D318="","",IF(U318=0,0,ROUND(M318/U318,2)))</f>
        <v/>
      </c>
      <c r="X318" s="436"/>
      <c r="Y318" s="437"/>
    </row>
    <row r="319" spans="2:27" ht="17.25" customHeight="1" x14ac:dyDescent="0.15">
      <c r="B319" s="377"/>
      <c r="C319" s="378"/>
      <c r="D319" s="972" t="str">
        <f>IF(OR($Z$308="非該当",$Z$308="算出不能"),DATE(YEAR($I$27)-3,MONTH($I$27),DAY($I$27)),"")</f>
        <v/>
      </c>
      <c r="E319" s="1019"/>
      <c r="F319" s="973"/>
      <c r="G319" s="314" t="str">
        <f>IF($D$318="","",G317)</f>
        <v/>
      </c>
      <c r="H319" s="315"/>
      <c r="I319" s="314" t="str">
        <f>IF($D$318="","",I317)</f>
        <v/>
      </c>
      <c r="J319" s="315"/>
      <c r="K319" s="427" t="str">
        <f t="shared" si="28"/>
        <v/>
      </c>
      <c r="L319" s="428"/>
      <c r="M319" s="431"/>
      <c r="N319" s="432"/>
      <c r="O319" s="314" t="str">
        <f>IF($D$318="","",O317)</f>
        <v/>
      </c>
      <c r="P319" s="315"/>
      <c r="Q319" s="314" t="str">
        <f>IF($D$318="","",Q317)</f>
        <v/>
      </c>
      <c r="R319" s="315"/>
      <c r="S319" s="427" t="str">
        <f t="shared" si="29"/>
        <v/>
      </c>
      <c r="T319" s="428"/>
      <c r="U319" s="431"/>
      <c r="V319" s="432"/>
      <c r="W319" s="438"/>
      <c r="X319" s="439"/>
      <c r="Y319" s="440"/>
    </row>
    <row r="320" spans="2:27" ht="17.25" customHeight="1" x14ac:dyDescent="0.15">
      <c r="B320" s="379"/>
      <c r="C320" s="380"/>
      <c r="D320" s="972" t="str">
        <f>IF(OR($Z$308="非該当",$Z$308="算出不能"),DATE(YEAR($I$27)-4,MONTH($I$27),DAY($I$27)),"")</f>
        <v/>
      </c>
      <c r="E320" s="1019"/>
      <c r="F320" s="973"/>
      <c r="G320" s="318"/>
      <c r="H320" s="319"/>
      <c r="I320" s="318"/>
      <c r="J320" s="319"/>
      <c r="K320" s="427" t="str">
        <f t="shared" si="28"/>
        <v/>
      </c>
      <c r="L320" s="428"/>
      <c r="M320" s="433"/>
      <c r="N320" s="434"/>
      <c r="O320" s="318"/>
      <c r="P320" s="319"/>
      <c r="Q320" s="318"/>
      <c r="R320" s="319"/>
      <c r="S320" s="427" t="str">
        <f t="shared" si="29"/>
        <v/>
      </c>
      <c r="T320" s="428"/>
      <c r="U320" s="433"/>
      <c r="V320" s="434"/>
      <c r="W320" s="441"/>
      <c r="X320" s="442"/>
      <c r="Y320" s="443"/>
    </row>
    <row r="321" spans="2:27" ht="17.25" customHeight="1" x14ac:dyDescent="0.15"/>
    <row r="322" spans="2:27" ht="30.75" customHeight="1" x14ac:dyDescent="0.15">
      <c r="B322" s="2" t="s">
        <v>203</v>
      </c>
      <c r="H322" s="2"/>
      <c r="AA322" s="169" t="str">
        <f>IF(G$23="","",G$23)</f>
        <v/>
      </c>
    </row>
    <row r="323" spans="2:27" s="3" customFormat="1" ht="17.25" customHeight="1" x14ac:dyDescent="0.15">
      <c r="B323" s="372" t="s">
        <v>151</v>
      </c>
      <c r="C323" s="373"/>
      <c r="D323" s="373"/>
      <c r="E323" s="373"/>
      <c r="F323" s="373"/>
      <c r="G323" s="373"/>
      <c r="H323" s="373"/>
      <c r="I323" s="373"/>
      <c r="J323" s="373"/>
      <c r="K323" s="373"/>
      <c r="L323" s="373"/>
      <c r="M323" s="373"/>
      <c r="N323" s="373"/>
      <c r="O323" s="373"/>
      <c r="P323" s="373"/>
      <c r="Q323" s="373"/>
      <c r="R323" s="373"/>
      <c r="S323" s="373"/>
      <c r="T323" s="373"/>
      <c r="U323" s="373"/>
      <c r="V323" s="373"/>
      <c r="W323" s="373"/>
      <c r="X323" s="373"/>
      <c r="Y323" s="373"/>
      <c r="Z323" s="373"/>
      <c r="AA323" s="374"/>
    </row>
    <row r="324" spans="2:27" s="13" customFormat="1" ht="17.25" customHeight="1" x14ac:dyDescent="0.15">
      <c r="B324" s="354" t="s">
        <v>137</v>
      </c>
      <c r="C324" s="355"/>
      <c r="D324" s="355"/>
      <c r="E324" s="355"/>
      <c r="F324" s="355"/>
      <c r="G324" s="355"/>
      <c r="H324" s="355"/>
      <c r="I324" s="355"/>
      <c r="J324" s="355"/>
      <c r="K324" s="355"/>
      <c r="L324" s="355"/>
      <c r="M324" s="355"/>
      <c r="N324" s="355"/>
      <c r="O324" s="355"/>
      <c r="P324" s="355"/>
      <c r="Q324" s="355"/>
      <c r="R324" s="355"/>
      <c r="S324" s="355"/>
      <c r="T324" s="355"/>
      <c r="U324" s="355"/>
      <c r="V324" s="355"/>
      <c r="W324" s="355"/>
      <c r="X324" s="355"/>
      <c r="Y324" s="355"/>
      <c r="Z324" s="355"/>
      <c r="AA324" s="356"/>
    </row>
    <row r="325" spans="2:27" ht="17.25" customHeight="1" x14ac:dyDescent="0.15">
      <c r="B325" s="357" t="s">
        <v>138</v>
      </c>
      <c r="C325" s="358"/>
      <c r="D325" s="358"/>
      <c r="E325" s="358"/>
      <c r="F325" s="358"/>
      <c r="G325" s="358"/>
      <c r="H325" s="358"/>
      <c r="I325" s="358"/>
      <c r="J325" s="358"/>
      <c r="K325" s="358"/>
      <c r="L325" s="358"/>
      <c r="M325" s="358"/>
      <c r="N325" s="358"/>
      <c r="O325" s="358"/>
      <c r="P325" s="358"/>
      <c r="Q325" s="358"/>
      <c r="R325" s="358"/>
      <c r="S325" s="358"/>
      <c r="T325" s="358"/>
      <c r="U325" s="358"/>
      <c r="V325" s="358"/>
      <c r="W325" s="358"/>
      <c r="X325" s="358"/>
      <c r="Y325" s="358"/>
      <c r="Z325" s="358"/>
      <c r="AA325" s="359"/>
    </row>
    <row r="326" spans="2:27" ht="17.25" customHeight="1" x14ac:dyDescent="0.15">
      <c r="B326" s="357" t="s">
        <v>139</v>
      </c>
      <c r="C326" s="358"/>
      <c r="D326" s="358"/>
      <c r="E326" s="358"/>
      <c r="F326" s="358"/>
      <c r="G326" s="358"/>
      <c r="H326" s="358"/>
      <c r="I326" s="358"/>
      <c r="J326" s="358"/>
      <c r="K326" s="358"/>
      <c r="L326" s="358"/>
      <c r="M326" s="358"/>
      <c r="N326" s="358"/>
      <c r="O326" s="358"/>
      <c r="P326" s="358"/>
      <c r="Q326" s="358"/>
      <c r="R326" s="358"/>
      <c r="S326" s="358"/>
      <c r="T326" s="358"/>
      <c r="U326" s="358"/>
      <c r="V326" s="358"/>
      <c r="W326" s="358"/>
      <c r="X326" s="358"/>
      <c r="Y326" s="358"/>
      <c r="Z326" s="358"/>
      <c r="AA326" s="359"/>
    </row>
    <row r="327" spans="2:27" ht="17.25" customHeight="1" x14ac:dyDescent="0.15">
      <c r="B327" s="357" t="s">
        <v>140</v>
      </c>
      <c r="C327" s="358"/>
      <c r="D327" s="358"/>
      <c r="E327" s="358"/>
      <c r="F327" s="358"/>
      <c r="G327" s="358"/>
      <c r="H327" s="358"/>
      <c r="I327" s="358"/>
      <c r="J327" s="358"/>
      <c r="K327" s="358"/>
      <c r="L327" s="358"/>
      <c r="M327" s="358"/>
      <c r="N327" s="358"/>
      <c r="O327" s="358"/>
      <c r="P327" s="358"/>
      <c r="Q327" s="358"/>
      <c r="R327" s="358"/>
      <c r="S327" s="358"/>
      <c r="T327" s="358"/>
      <c r="U327" s="358"/>
      <c r="V327" s="358"/>
      <c r="W327" s="358"/>
      <c r="X327" s="358"/>
      <c r="Y327" s="358"/>
      <c r="Z327" s="358"/>
      <c r="AA327" s="359"/>
    </row>
    <row r="328" spans="2:27" ht="17.25" customHeight="1" x14ac:dyDescent="0.15">
      <c r="B328" s="360" t="s">
        <v>141</v>
      </c>
      <c r="C328" s="361"/>
      <c r="D328" s="361"/>
      <c r="E328" s="361"/>
      <c r="F328" s="361"/>
      <c r="G328" s="361"/>
      <c r="H328" s="361"/>
      <c r="I328" s="361"/>
      <c r="J328" s="361"/>
      <c r="K328" s="361"/>
      <c r="L328" s="361"/>
      <c r="M328" s="361"/>
      <c r="N328" s="361"/>
      <c r="O328" s="361"/>
      <c r="P328" s="361"/>
      <c r="Q328" s="361"/>
      <c r="R328" s="361"/>
      <c r="S328" s="361"/>
      <c r="T328" s="361"/>
      <c r="U328" s="361"/>
      <c r="V328" s="361"/>
      <c r="W328" s="361"/>
      <c r="X328" s="361"/>
      <c r="Y328" s="361"/>
      <c r="Z328" s="361"/>
      <c r="AA328" s="362"/>
    </row>
    <row r="329" spans="2:27" ht="17.25" customHeight="1" x14ac:dyDescent="0.15"/>
    <row r="330" spans="2:27" ht="17.25" customHeight="1" thickBot="1" x14ac:dyDescent="0.2">
      <c r="B330" s="18" t="s">
        <v>34</v>
      </c>
      <c r="V330" s="15"/>
      <c r="W330" s="15"/>
      <c r="X330" s="15"/>
      <c r="Y330" s="15"/>
    </row>
    <row r="331" spans="2:27" s="9" customFormat="1" ht="47.25" customHeight="1" thickTop="1" x14ac:dyDescent="0.15">
      <c r="B331" s="366" t="s">
        <v>68</v>
      </c>
      <c r="C331" s="367"/>
      <c r="D331" s="367"/>
      <c r="E331" s="367"/>
      <c r="F331" s="368"/>
      <c r="G331" s="409" t="s">
        <v>219</v>
      </c>
      <c r="H331" s="410"/>
      <c r="I331" s="410"/>
      <c r="J331" s="411"/>
      <c r="K331" s="409" t="s">
        <v>142</v>
      </c>
      <c r="L331" s="410"/>
      <c r="M331" s="410"/>
      <c r="N331" s="411"/>
      <c r="O331" s="409" t="s">
        <v>143</v>
      </c>
      <c r="P331" s="410"/>
      <c r="Q331" s="410"/>
      <c r="R331" s="411"/>
      <c r="S331" s="409" t="s">
        <v>144</v>
      </c>
      <c r="T331" s="410"/>
      <c r="U331" s="410"/>
      <c r="V331" s="411"/>
      <c r="W331" s="366" t="s">
        <v>54</v>
      </c>
      <c r="X331" s="367"/>
      <c r="Y331" s="367"/>
      <c r="Z331" s="419" t="s">
        <v>36</v>
      </c>
      <c r="AA331" s="420"/>
    </row>
    <row r="332" spans="2:27" ht="17.25" customHeight="1" x14ac:dyDescent="0.15">
      <c r="B332" s="1016" t="str">
        <f>IF($I$27="","",$I$27)</f>
        <v/>
      </c>
      <c r="C332" s="1017"/>
      <c r="D332" s="1017"/>
      <c r="E332" s="1017"/>
      <c r="F332" s="1018"/>
      <c r="G332" s="913"/>
      <c r="H332" s="914"/>
      <c r="I332" s="914"/>
      <c r="J332" s="915"/>
      <c r="K332" s="913"/>
      <c r="L332" s="914"/>
      <c r="M332" s="914"/>
      <c r="N332" s="915"/>
      <c r="O332" s="913"/>
      <c r="P332" s="914"/>
      <c r="Q332" s="914"/>
      <c r="R332" s="915"/>
      <c r="S332" s="913"/>
      <c r="T332" s="914"/>
      <c r="U332" s="914"/>
      <c r="V332" s="915"/>
      <c r="W332" s="406" t="str">
        <f>IF(B332="","",SUM(G332:V332))</f>
        <v/>
      </c>
      <c r="X332" s="407"/>
      <c r="Y332" s="407"/>
      <c r="Z332" s="421"/>
      <c r="AA332" s="422"/>
    </row>
    <row r="333" spans="2:27" ht="17.25" customHeight="1" x14ac:dyDescent="0.15">
      <c r="B333" s="1016" t="str">
        <f>IF($I$27="","",DATE(YEAR($I$27)-1,MONTH($I$27),DAY($I$27)))</f>
        <v/>
      </c>
      <c r="C333" s="1017"/>
      <c r="D333" s="1017"/>
      <c r="E333" s="1017"/>
      <c r="F333" s="1018"/>
      <c r="G333" s="913"/>
      <c r="H333" s="914"/>
      <c r="I333" s="914"/>
      <c r="J333" s="915"/>
      <c r="K333" s="913"/>
      <c r="L333" s="914"/>
      <c r="M333" s="914"/>
      <c r="N333" s="915"/>
      <c r="O333" s="913"/>
      <c r="P333" s="914"/>
      <c r="Q333" s="914"/>
      <c r="R333" s="915"/>
      <c r="S333" s="913"/>
      <c r="T333" s="914"/>
      <c r="U333" s="914"/>
      <c r="V333" s="915"/>
      <c r="W333" s="406" t="str">
        <f>IF(B333="","",SUM(G333:V333))</f>
        <v/>
      </c>
      <c r="X333" s="407"/>
      <c r="Y333" s="407"/>
      <c r="Z333" s="423"/>
      <c r="AA333" s="424"/>
    </row>
    <row r="334" spans="2:27" ht="17.25" customHeight="1" thickBot="1" x14ac:dyDescent="0.2">
      <c r="B334" s="1016" t="str">
        <f>IF($I$27="","",DATE(YEAR($I$27)-2,MONTH($I$27),DAY($I$27)))</f>
        <v/>
      </c>
      <c r="C334" s="1017"/>
      <c r="D334" s="1017"/>
      <c r="E334" s="1017"/>
      <c r="F334" s="1018"/>
      <c r="G334" s="913"/>
      <c r="H334" s="914"/>
      <c r="I334" s="914"/>
      <c r="J334" s="915"/>
      <c r="K334" s="913"/>
      <c r="L334" s="914"/>
      <c r="M334" s="914"/>
      <c r="N334" s="915"/>
      <c r="O334" s="913"/>
      <c r="P334" s="914"/>
      <c r="Q334" s="914"/>
      <c r="R334" s="915"/>
      <c r="S334" s="913"/>
      <c r="T334" s="914"/>
      <c r="U334" s="914"/>
      <c r="V334" s="915"/>
      <c r="W334" s="417" t="str">
        <f>IF(B334="","",SUM(G334:V334))</f>
        <v/>
      </c>
      <c r="X334" s="418"/>
      <c r="Y334" s="418"/>
      <c r="Z334" s="423"/>
      <c r="AA334" s="424"/>
    </row>
    <row r="335" spans="2:27" ht="17.25" customHeight="1" thickTop="1" thickBot="1" x14ac:dyDescent="0.2">
      <c r="B335" s="412" t="s">
        <v>42</v>
      </c>
      <c r="C335" s="413"/>
      <c r="D335" s="413"/>
      <c r="E335" s="413"/>
      <c r="F335" s="414"/>
      <c r="G335" s="369" t="str">
        <f>IF($B$332="","",SUM(G332:J334))</f>
        <v/>
      </c>
      <c r="H335" s="370"/>
      <c r="I335" s="370"/>
      <c r="J335" s="916"/>
      <c r="K335" s="369" t="str">
        <f>IF($B$332="","",SUM(K332:N334))</f>
        <v/>
      </c>
      <c r="L335" s="370"/>
      <c r="M335" s="370"/>
      <c r="N335" s="916"/>
      <c r="O335" s="369" t="str">
        <f>IF($B$332="","",SUM(O332:R334))</f>
        <v/>
      </c>
      <c r="P335" s="370"/>
      <c r="Q335" s="370"/>
      <c r="R335" s="916"/>
      <c r="S335" s="369" t="str">
        <f>IF($B$332="","",SUM(S332:V334))</f>
        <v/>
      </c>
      <c r="T335" s="370"/>
      <c r="U335" s="370"/>
      <c r="V335" s="371"/>
      <c r="W335" s="415" t="str">
        <f>IF($B$332="","Ａ　　　　",SUM(W332:Y334))</f>
        <v>Ａ　　　　</v>
      </c>
      <c r="X335" s="416"/>
      <c r="Y335" s="416"/>
      <c r="Z335" s="425"/>
      <c r="AA335" s="426"/>
    </row>
    <row r="336" spans="2:27" ht="17.25" customHeight="1" thickTop="1" x14ac:dyDescent="0.15">
      <c r="W336" s="35"/>
      <c r="X336" s="15"/>
      <c r="Y336" s="15"/>
      <c r="AA336" s="35" t="str">
        <f>IF(G23="","",IF(Z332="","リストから選択↑　",""))</f>
        <v/>
      </c>
    </row>
    <row r="337" spans="2:30" ht="17.25" customHeight="1" x14ac:dyDescent="0.15">
      <c r="B337" s="9" t="s">
        <v>177</v>
      </c>
    </row>
    <row r="338" spans="2:30" s="9" customFormat="1" ht="47.25" customHeight="1" x14ac:dyDescent="0.15">
      <c r="B338" s="409" t="s">
        <v>69</v>
      </c>
      <c r="C338" s="410"/>
      <c r="D338" s="410"/>
      <c r="E338" s="410"/>
      <c r="F338" s="411"/>
      <c r="G338" s="409" t="s">
        <v>219</v>
      </c>
      <c r="H338" s="410"/>
      <c r="I338" s="410"/>
      <c r="J338" s="411"/>
      <c r="K338" s="409" t="s">
        <v>142</v>
      </c>
      <c r="L338" s="410"/>
      <c r="M338" s="410"/>
      <c r="N338" s="411"/>
      <c r="O338" s="409" t="s">
        <v>143</v>
      </c>
      <c r="P338" s="410"/>
      <c r="Q338" s="410"/>
      <c r="R338" s="411"/>
      <c r="S338" s="409" t="s">
        <v>144</v>
      </c>
      <c r="T338" s="410"/>
      <c r="U338" s="410"/>
      <c r="V338" s="411"/>
      <c r="W338" s="366" t="s">
        <v>54</v>
      </c>
      <c r="X338" s="367"/>
      <c r="Y338" s="368"/>
      <c r="Z338" s="1"/>
      <c r="AA338" s="1"/>
    </row>
    <row r="339" spans="2:30" ht="17.25" customHeight="1" x14ac:dyDescent="0.15">
      <c r="B339" s="980" t="str">
        <f>IF($Z$332="非該当",DATE(YEAR($I$27)-3,MONTH($I$27),DAY($I$27)),"")</f>
        <v/>
      </c>
      <c r="C339" s="981"/>
      <c r="D339" s="981"/>
      <c r="E339" s="981"/>
      <c r="F339" s="982"/>
      <c r="G339" s="917"/>
      <c r="H339" s="918"/>
      <c r="I339" s="918"/>
      <c r="J339" s="919"/>
      <c r="K339" s="917"/>
      <c r="L339" s="918"/>
      <c r="M339" s="918"/>
      <c r="N339" s="919"/>
      <c r="O339" s="917"/>
      <c r="P339" s="918"/>
      <c r="Q339" s="918"/>
      <c r="R339" s="919"/>
      <c r="S339" s="917"/>
      <c r="T339" s="918"/>
      <c r="U339" s="918"/>
      <c r="V339" s="919"/>
      <c r="W339" s="406" t="str">
        <f>IF(B339="","",SUM(G339:V339))</f>
        <v/>
      </c>
      <c r="X339" s="407"/>
      <c r="Y339" s="408"/>
    </row>
    <row r="340" spans="2:30" ht="17.25" customHeight="1" x14ac:dyDescent="0.15">
      <c r="B340" s="980" t="str">
        <f>IF($Z$332="非該当",DATE(YEAR($I$27)-4,MONTH($I$27),DAY($I$27)),"")</f>
        <v/>
      </c>
      <c r="C340" s="981"/>
      <c r="D340" s="981"/>
      <c r="E340" s="981"/>
      <c r="F340" s="982"/>
      <c r="G340" s="917"/>
      <c r="H340" s="918"/>
      <c r="I340" s="918"/>
      <c r="J340" s="919"/>
      <c r="K340" s="917"/>
      <c r="L340" s="918"/>
      <c r="M340" s="918"/>
      <c r="N340" s="919"/>
      <c r="O340" s="917"/>
      <c r="P340" s="918"/>
      <c r="Q340" s="918"/>
      <c r="R340" s="919"/>
      <c r="S340" s="917"/>
      <c r="T340" s="918"/>
      <c r="U340" s="918"/>
      <c r="V340" s="919"/>
      <c r="W340" s="406" t="str">
        <f>IF(B340="","",SUM(G340:V340))</f>
        <v/>
      </c>
      <c r="X340" s="407"/>
      <c r="Y340" s="408"/>
    </row>
    <row r="341" spans="2:30" ht="17.25" customHeight="1" x14ac:dyDescent="0.15"/>
    <row r="342" spans="2:30" ht="17.25" customHeight="1" x14ac:dyDescent="0.15">
      <c r="B342" s="1" t="s">
        <v>205</v>
      </c>
      <c r="Y342" s="12"/>
      <c r="AA342" s="169" t="str">
        <f>IF(G$23="","",G$23)</f>
        <v/>
      </c>
    </row>
    <row r="343" spans="2:30" ht="17.25" customHeight="1" x14ac:dyDescent="0.15">
      <c r="B343" s="9" t="s">
        <v>232</v>
      </c>
    </row>
    <row r="344" spans="2:30" ht="27.75" customHeight="1" x14ac:dyDescent="0.15">
      <c r="C344" s="606" t="s">
        <v>247</v>
      </c>
      <c r="D344" s="606"/>
      <c r="E344" s="606"/>
      <c r="F344" s="606"/>
      <c r="G344" s="606"/>
      <c r="H344" s="606"/>
      <c r="I344" s="606"/>
      <c r="J344" s="606"/>
      <c r="K344" s="606"/>
      <c r="L344" s="606"/>
      <c r="M344" s="606"/>
      <c r="N344" s="606"/>
      <c r="O344" s="606"/>
      <c r="P344" s="606"/>
      <c r="Q344" s="606"/>
      <c r="R344" s="606"/>
      <c r="S344" s="606"/>
      <c r="T344" s="606"/>
      <c r="U344" s="606"/>
      <c r="V344" s="606"/>
      <c r="W344" s="606"/>
      <c r="X344" s="606"/>
      <c r="Y344" s="606"/>
      <c r="Z344" s="606"/>
    </row>
    <row r="345" spans="2:30" ht="17.25" customHeight="1" thickBot="1" x14ac:dyDescent="0.2">
      <c r="I345" s="329" t="s">
        <v>40</v>
      </c>
      <c r="J345" s="330"/>
      <c r="K345" s="330"/>
      <c r="L345" s="330"/>
      <c r="M345" s="330"/>
      <c r="N345" s="330"/>
      <c r="O345" s="330"/>
      <c r="P345" s="331"/>
      <c r="Q345" s="329" t="s">
        <v>41</v>
      </c>
      <c r="R345" s="330"/>
      <c r="S345" s="330"/>
      <c r="T345" s="330"/>
      <c r="U345" s="330"/>
      <c r="V345" s="330"/>
      <c r="W345" s="330"/>
      <c r="X345" s="331"/>
    </row>
    <row r="346" spans="2:30" s="9" customFormat="1" ht="40.5" customHeight="1" thickBot="1" x14ac:dyDescent="0.2">
      <c r="B346" s="332" t="s">
        <v>0</v>
      </c>
      <c r="C346" s="333"/>
      <c r="D346" s="334"/>
      <c r="E346" s="64"/>
      <c r="F346" s="335" t="s">
        <v>230</v>
      </c>
      <c r="G346" s="336"/>
      <c r="H346" s="337"/>
      <c r="I346" s="338" t="s">
        <v>221</v>
      </c>
      <c r="J346" s="339"/>
      <c r="K346" s="340" t="s">
        <v>180</v>
      </c>
      <c r="L346" s="341"/>
      <c r="M346" s="341"/>
      <c r="N346" s="342"/>
      <c r="O346" s="338" t="s">
        <v>181</v>
      </c>
      <c r="P346" s="337"/>
      <c r="Q346" s="338" t="s">
        <v>221</v>
      </c>
      <c r="R346" s="343"/>
      <c r="S346" s="340" t="s">
        <v>180</v>
      </c>
      <c r="T346" s="341"/>
      <c r="U346" s="341"/>
      <c r="V346" s="342"/>
      <c r="W346" s="338" t="s">
        <v>182</v>
      </c>
      <c r="X346" s="336"/>
      <c r="Y346" s="338" t="s">
        <v>169</v>
      </c>
      <c r="Z346" s="339"/>
      <c r="AA346" s="344"/>
    </row>
    <row r="347" spans="2:30" s="9" customFormat="1" ht="16.5" customHeight="1" x14ac:dyDescent="0.15">
      <c r="B347" s="345"/>
      <c r="C347" s="346"/>
      <c r="D347" s="347"/>
      <c r="E347" s="28" t="str">
        <f>IF(B347="","",B347&amp;F347)</f>
        <v/>
      </c>
      <c r="F347" s="950" t="str">
        <f>IF(AND($W$165="非該当",$B$347&lt;&gt;""),DATE(YEAR($I$27)-9,MONTH($I$27),DAY($I$27)),"")</f>
        <v/>
      </c>
      <c r="G347" s="951"/>
      <c r="H347" s="952"/>
      <c r="I347" s="296" t="str">
        <f>IF($B$347="","",VLOOKUP($E347,$E$153:$T$164,5,FALSE))</f>
        <v/>
      </c>
      <c r="J347" s="297"/>
      <c r="K347" s="298" t="str">
        <f>IF(B$347="","",P16)</f>
        <v/>
      </c>
      <c r="L347" s="299"/>
      <c r="M347" s="296" t="str">
        <f>IF($B$347="","",VLOOKUP($E347,$E$153:$T$164,7,FALSE))</f>
        <v/>
      </c>
      <c r="N347" s="297"/>
      <c r="O347" s="302" t="str">
        <f>IF(B$347="","",IF(I350&lt;1,"－",ROUND(M350/I350,3)))</f>
        <v/>
      </c>
      <c r="P347" s="303"/>
      <c r="Q347" s="296" t="str">
        <f>IF($B$347="","",VLOOKUP($E347,$E$153:$T$164,12,FALSE))</f>
        <v/>
      </c>
      <c r="R347" s="297"/>
      <c r="S347" s="298" t="str">
        <f>IF(B$347="","",P16)</f>
        <v/>
      </c>
      <c r="T347" s="299"/>
      <c r="U347" s="296" t="str">
        <f>IF($B$347="","",VLOOKUP($E347,$E$153:$T$164,14,FALSE))</f>
        <v/>
      </c>
      <c r="V347" s="297"/>
      <c r="W347" s="302" t="str">
        <f>IF(B$347="","",IF(Q350&lt;1,"－",ROUND(U350/Q350,3)))</f>
        <v/>
      </c>
      <c r="X347" s="303"/>
      <c r="Y347" s="308" t="s">
        <v>170</v>
      </c>
      <c r="Z347" s="309"/>
      <c r="AA347" s="310"/>
    </row>
    <row r="348" spans="2:30" s="9" customFormat="1" ht="16.5" customHeight="1" x14ac:dyDescent="0.15">
      <c r="B348" s="348"/>
      <c r="C348" s="349"/>
      <c r="D348" s="350"/>
      <c r="E348" s="28" t="str">
        <f>IF(B347="","",B347&amp;F348)</f>
        <v/>
      </c>
      <c r="F348" s="953" t="str">
        <f>IF(AND($W$165="非該当",$B$347&lt;&gt;""),DATE(YEAR($I$27)-10,MONTH($I$27),DAY($I$27)),"　　　　★")</f>
        <v>　　　　★</v>
      </c>
      <c r="G348" s="954"/>
      <c r="H348" s="955"/>
      <c r="I348" s="314" t="str">
        <f>IF($B$347="","",VLOOKUP($E348,$E$153:$T$164,5,FALSE))</f>
        <v/>
      </c>
      <c r="J348" s="315"/>
      <c r="K348" s="316" t="str">
        <f>IF(B$347="","★の10事業年度後在職者数","事業年度在職者数")</f>
        <v>★の10事業年度後在職者数</v>
      </c>
      <c r="L348" s="317"/>
      <c r="M348" s="314" t="str">
        <f>IF($B$347="","",VLOOKUP($E348,$E$153:$T$164,7,FALSE))</f>
        <v/>
      </c>
      <c r="N348" s="315"/>
      <c r="O348" s="304"/>
      <c r="P348" s="305"/>
      <c r="Q348" s="314" t="str">
        <f>IF($B$347="","",VLOOKUP($E348,$E$153:$T$164,12,FALSE))</f>
        <v/>
      </c>
      <c r="R348" s="315"/>
      <c r="S348" s="316" t="str">
        <f>IF(B$347="","★の10事業年度後在職者数","事業年度在職者数")</f>
        <v>★の10事業年度後在職者数</v>
      </c>
      <c r="T348" s="317"/>
      <c r="U348" s="314" t="str">
        <f>IF($B$347="","",VLOOKUP($E348,$E$153:$T$164,14,FALSE))</f>
        <v/>
      </c>
      <c r="V348" s="315"/>
      <c r="W348" s="304"/>
      <c r="X348" s="305"/>
      <c r="Y348" s="320" t="str">
        <f>IF(B$347="","",IF(OR(O347="－",W347="－",W347=0),"－",ROUND(O347/W347,2)))</f>
        <v/>
      </c>
      <c r="Z348" s="321"/>
      <c r="AA348" s="322"/>
      <c r="AD348" s="155"/>
    </row>
    <row r="349" spans="2:30" s="9" customFormat="1" ht="16.5" customHeight="1" x14ac:dyDescent="0.15">
      <c r="B349" s="348"/>
      <c r="C349" s="349"/>
      <c r="D349" s="350"/>
      <c r="E349" s="28" t="str">
        <f>IF(B347="","",B347&amp;F349)</f>
        <v/>
      </c>
      <c r="F349" s="956" t="str">
        <f>IF(AND($W$165="非該当",$B$347&lt;&gt;""),DATE(YEAR($I$27)-11,MONTH($I$27),DAY($I$27)),"")</f>
        <v/>
      </c>
      <c r="G349" s="957"/>
      <c r="H349" s="958"/>
      <c r="I349" s="314" t="str">
        <f>IF($B$347="","",VLOOKUP($E349,$E$153:$T$164,5,FALSE))</f>
        <v/>
      </c>
      <c r="J349" s="315"/>
      <c r="K349" s="316"/>
      <c r="L349" s="317"/>
      <c r="M349" s="314" t="str">
        <f>IF($B$347="","",VLOOKUP($E349,$E$153:$T$164,7,FALSE))</f>
        <v/>
      </c>
      <c r="N349" s="315"/>
      <c r="O349" s="304"/>
      <c r="P349" s="305"/>
      <c r="Q349" s="314" t="str">
        <f>IF($B$347="","",VLOOKUP($E349,$E$153:$T$164,12,FALSE))</f>
        <v/>
      </c>
      <c r="R349" s="315"/>
      <c r="S349" s="316"/>
      <c r="T349" s="317"/>
      <c r="U349" s="314" t="str">
        <f>IF($B$347="","",VLOOKUP($E349,$E$153:$T$164,14,FALSE))</f>
        <v/>
      </c>
      <c r="V349" s="315"/>
      <c r="W349" s="304"/>
      <c r="X349" s="305"/>
      <c r="Y349" s="320"/>
      <c r="Z349" s="321"/>
      <c r="AA349" s="322"/>
    </row>
    <row r="350" spans="2:30" s="9" customFormat="1" ht="16.5" customHeight="1" thickBot="1" x14ac:dyDescent="0.2">
      <c r="B350" s="348"/>
      <c r="C350" s="349"/>
      <c r="D350" s="350"/>
      <c r="E350" s="93"/>
      <c r="F350" s="326" t="s">
        <v>15</v>
      </c>
      <c r="G350" s="327"/>
      <c r="H350" s="328"/>
      <c r="I350" s="288" t="str">
        <f>IF($B$347="","",SUM(I347:J349))</f>
        <v/>
      </c>
      <c r="J350" s="289"/>
      <c r="K350" s="151"/>
      <c r="L350" s="152"/>
      <c r="M350" s="288" t="str">
        <f>IF($B$347="","",SUM(M347:N349))</f>
        <v/>
      </c>
      <c r="N350" s="289"/>
      <c r="O350" s="306"/>
      <c r="P350" s="307"/>
      <c r="Q350" s="288" t="str">
        <f>IF($B$347="","",SUM(Q347:R349))</f>
        <v/>
      </c>
      <c r="R350" s="289"/>
      <c r="S350" s="151"/>
      <c r="T350" s="152"/>
      <c r="U350" s="288" t="str">
        <f>IF($B$347="","",SUM(U347:V349))</f>
        <v/>
      </c>
      <c r="V350" s="289"/>
      <c r="W350" s="306"/>
      <c r="X350" s="307"/>
      <c r="Y350" s="290"/>
      <c r="Z350" s="291"/>
      <c r="AA350" s="292"/>
    </row>
    <row r="351" spans="2:30" s="9" customFormat="1" ht="16.5" customHeight="1" x14ac:dyDescent="0.15">
      <c r="B351" s="348"/>
      <c r="C351" s="349"/>
      <c r="D351" s="350"/>
      <c r="E351" s="93"/>
      <c r="F351" s="950" t="str">
        <f>IF(AND($W$165="非該当",$B$347&lt;&gt;""),DATE(YEAR($I$27)-10,MONTH($I$27),DAY($I$27)),"")</f>
        <v/>
      </c>
      <c r="G351" s="951"/>
      <c r="H351" s="952"/>
      <c r="I351" s="296" t="str">
        <f>IF(I348="","",I348)</f>
        <v/>
      </c>
      <c r="J351" s="297"/>
      <c r="K351" s="298" t="str">
        <f>IF(B$347="","",P17)</f>
        <v/>
      </c>
      <c r="L351" s="299"/>
      <c r="M351" s="300"/>
      <c r="N351" s="301"/>
      <c r="O351" s="302" t="str">
        <f>IF(B$347="","",IF(I354&lt;1,"－",ROUND(M354/I354,3)))</f>
        <v/>
      </c>
      <c r="P351" s="303"/>
      <c r="Q351" s="296" t="str">
        <f>IF(Q348="","",Q348)</f>
        <v/>
      </c>
      <c r="R351" s="297"/>
      <c r="S351" s="298" t="str">
        <f>IF(B$347="","",P17)</f>
        <v/>
      </c>
      <c r="T351" s="299"/>
      <c r="U351" s="300"/>
      <c r="V351" s="301"/>
      <c r="W351" s="302" t="str">
        <f>IF(B$347="","",IF(Q354&lt;1,"－",ROUND(U354/Q354,3)))</f>
        <v/>
      </c>
      <c r="X351" s="303"/>
      <c r="Y351" s="308" t="s">
        <v>171</v>
      </c>
      <c r="Z351" s="309"/>
      <c r="AA351" s="310"/>
    </row>
    <row r="352" spans="2:30" s="9" customFormat="1" ht="16.5" customHeight="1" x14ac:dyDescent="0.15">
      <c r="B352" s="348"/>
      <c r="C352" s="349"/>
      <c r="D352" s="350"/>
      <c r="E352" s="28" t="str">
        <f>IF(B347="","",B347&amp;F352&amp;"その2")</f>
        <v/>
      </c>
      <c r="F352" s="953" t="str">
        <f>IF(AND($W$165="非該当",$B$347&lt;&gt;""),DATE(YEAR($I$27)-11,MONTH($I$27),DAY($I$27)),"　　　　★")</f>
        <v>　　　　★</v>
      </c>
      <c r="G352" s="954"/>
      <c r="H352" s="955"/>
      <c r="I352" s="314" t="str">
        <f>IF(I349="","",I349)</f>
        <v/>
      </c>
      <c r="J352" s="315"/>
      <c r="K352" s="316" t="str">
        <f>IF(B$347="","★の10事業年度後在職者数","事業年度在職者数")</f>
        <v>★の10事業年度後在職者数</v>
      </c>
      <c r="L352" s="317"/>
      <c r="M352" s="318"/>
      <c r="N352" s="319"/>
      <c r="O352" s="304"/>
      <c r="P352" s="305"/>
      <c r="Q352" s="314" t="str">
        <f>IF(Q349="","",Q349)</f>
        <v/>
      </c>
      <c r="R352" s="315"/>
      <c r="S352" s="316" t="str">
        <f>IF(B$347="","★の10事業年度後在職者数","事業年度在職者数")</f>
        <v>★の10事業年度後在職者数</v>
      </c>
      <c r="T352" s="317"/>
      <c r="U352" s="318"/>
      <c r="V352" s="319"/>
      <c r="W352" s="304"/>
      <c r="X352" s="305"/>
      <c r="Y352" s="320" t="str">
        <f>IF(B$347="","",IF(OR(O351="－",W351="－",W351=0),"－",ROUND(O351/W351,2)))</f>
        <v/>
      </c>
      <c r="Z352" s="321"/>
      <c r="AA352" s="322"/>
      <c r="AD352" s="154"/>
    </row>
    <row r="353" spans="2:28" s="9" customFormat="1" ht="16.5" customHeight="1" x14ac:dyDescent="0.15">
      <c r="B353" s="348"/>
      <c r="C353" s="349"/>
      <c r="D353" s="350"/>
      <c r="E353" s="93"/>
      <c r="F353" s="956" t="str">
        <f>IF(AND($W$165="非該当",$B$347&lt;&gt;""),DATE(YEAR($I$27)-12,MONTH($I$27),DAY($I$27)),"")</f>
        <v/>
      </c>
      <c r="G353" s="957"/>
      <c r="H353" s="958"/>
      <c r="I353" s="318"/>
      <c r="J353" s="319"/>
      <c r="K353" s="316"/>
      <c r="L353" s="317"/>
      <c r="M353" s="318"/>
      <c r="N353" s="319"/>
      <c r="O353" s="304"/>
      <c r="P353" s="305"/>
      <c r="Q353" s="318"/>
      <c r="R353" s="319"/>
      <c r="S353" s="316"/>
      <c r="T353" s="317"/>
      <c r="U353" s="318"/>
      <c r="V353" s="319"/>
      <c r="W353" s="304"/>
      <c r="X353" s="305"/>
      <c r="Y353" s="320"/>
      <c r="Z353" s="321"/>
      <c r="AA353" s="322"/>
    </row>
    <row r="354" spans="2:28" s="9" customFormat="1" ht="16.5" customHeight="1" thickBot="1" x14ac:dyDescent="0.2">
      <c r="B354" s="348"/>
      <c r="C354" s="349"/>
      <c r="D354" s="350"/>
      <c r="E354" s="93"/>
      <c r="F354" s="326" t="s">
        <v>15</v>
      </c>
      <c r="G354" s="327"/>
      <c r="H354" s="328"/>
      <c r="I354" s="288" t="str">
        <f>IF($B$347="","",SUM(I351:J353))</f>
        <v/>
      </c>
      <c r="J354" s="289"/>
      <c r="K354" s="151"/>
      <c r="L354" s="152"/>
      <c r="M354" s="288" t="str">
        <f>IF($B$347="","",SUM(M351:N353))</f>
        <v/>
      </c>
      <c r="N354" s="289"/>
      <c r="O354" s="306"/>
      <c r="P354" s="307"/>
      <c r="Q354" s="288" t="str">
        <f>IF($B$347="","",SUM(Q351:R353))</f>
        <v/>
      </c>
      <c r="R354" s="289"/>
      <c r="S354" s="150"/>
      <c r="T354" s="150"/>
      <c r="U354" s="288" t="str">
        <f>IF($B$347="","",SUM(U351:V353))</f>
        <v/>
      </c>
      <c r="V354" s="289"/>
      <c r="W354" s="306"/>
      <c r="X354" s="307"/>
      <c r="Y354" s="290"/>
      <c r="Z354" s="291"/>
      <c r="AA354" s="292"/>
    </row>
    <row r="355" spans="2:28" s="9" customFormat="1" ht="16.5" customHeight="1" x14ac:dyDescent="0.15">
      <c r="B355" s="348"/>
      <c r="C355" s="349"/>
      <c r="D355" s="350"/>
      <c r="E355" s="93"/>
      <c r="F355" s="950" t="str">
        <f>IF(AND($W$165="非該当",$B$347&lt;&gt;""),DATE(YEAR($I$27)-11,MONTH($I$27),DAY($I$27)),"")</f>
        <v/>
      </c>
      <c r="G355" s="951"/>
      <c r="H355" s="952"/>
      <c r="I355" s="296" t="str">
        <f>IF(I352="","",I352)</f>
        <v/>
      </c>
      <c r="J355" s="297"/>
      <c r="K355" s="298" t="str">
        <f>IF(B$347="","",P18)</f>
        <v/>
      </c>
      <c r="L355" s="299"/>
      <c r="M355" s="300"/>
      <c r="N355" s="301"/>
      <c r="O355" s="302" t="str">
        <f>IF(B$347="","",IF(I358&lt;1,"－",ROUND(M358/I358,3)))</f>
        <v/>
      </c>
      <c r="P355" s="303"/>
      <c r="Q355" s="296" t="str">
        <f>IF(Q352="","",Q352)</f>
        <v/>
      </c>
      <c r="R355" s="297"/>
      <c r="S355" s="298" t="str">
        <f>IF(B$347="","",P18)</f>
        <v/>
      </c>
      <c r="T355" s="299"/>
      <c r="U355" s="300"/>
      <c r="V355" s="301"/>
      <c r="W355" s="302" t="str">
        <f>IF(B$347="","",IF(Q358&lt;1,"－",ROUND(U358/Q358,3)))</f>
        <v/>
      </c>
      <c r="X355" s="303"/>
      <c r="Y355" s="308" t="s">
        <v>172</v>
      </c>
      <c r="Z355" s="309"/>
      <c r="AA355" s="310"/>
    </row>
    <row r="356" spans="2:28" s="9" customFormat="1" ht="16.5" customHeight="1" x14ac:dyDescent="0.15">
      <c r="B356" s="348"/>
      <c r="C356" s="349"/>
      <c r="D356" s="350"/>
      <c r="E356" s="28" t="str">
        <f>IF(B347="","",B347&amp;F356)</f>
        <v/>
      </c>
      <c r="F356" s="953" t="str">
        <f>IF(AND($W$165="非該当",$B$347&lt;&gt;""),DATE(YEAR($I$27)-12,MONTH($I$27),DAY($I$27)),"　　　　★")</f>
        <v>　　　　★</v>
      </c>
      <c r="G356" s="954"/>
      <c r="H356" s="955"/>
      <c r="I356" s="314" t="str">
        <f>IF(I353="","",I353)</f>
        <v/>
      </c>
      <c r="J356" s="315"/>
      <c r="K356" s="316" t="str">
        <f>IF(B$347="","★の10事業年度後在職者数","事業年度在職者数")</f>
        <v>★の10事業年度後在職者数</v>
      </c>
      <c r="L356" s="317"/>
      <c r="M356" s="318"/>
      <c r="N356" s="319"/>
      <c r="O356" s="304"/>
      <c r="P356" s="305"/>
      <c r="Q356" s="314" t="str">
        <f>IF(Q353="","",Q353)</f>
        <v/>
      </c>
      <c r="R356" s="315"/>
      <c r="S356" s="316" t="str">
        <f>IF(B$347="","★の10事業年度後在職者数","事業年度在職者数")</f>
        <v>★の10事業年度後在職者数</v>
      </c>
      <c r="T356" s="317"/>
      <c r="U356" s="318"/>
      <c r="V356" s="319"/>
      <c r="W356" s="304"/>
      <c r="X356" s="305"/>
      <c r="Y356" s="320" t="str">
        <f>IF(B$347="","",IF(OR(O355="－",W355="－",W355=0),"－",ROUND(O355/W355,2)))</f>
        <v/>
      </c>
      <c r="Z356" s="321"/>
      <c r="AA356" s="322"/>
    </row>
    <row r="357" spans="2:28" s="9" customFormat="1" ht="16.5" customHeight="1" x14ac:dyDescent="0.15">
      <c r="B357" s="348"/>
      <c r="C357" s="349"/>
      <c r="D357" s="350"/>
      <c r="E357" s="93"/>
      <c r="F357" s="956" t="str">
        <f>IF(AND($W$165="非該当",$B$347&lt;&gt;""),DATE(YEAR($I$27)-13,MONTH($I$27),DAY($I$27)),"")</f>
        <v/>
      </c>
      <c r="G357" s="957"/>
      <c r="H357" s="958"/>
      <c r="I357" s="318"/>
      <c r="J357" s="319"/>
      <c r="K357" s="316"/>
      <c r="L357" s="317"/>
      <c r="M357" s="318"/>
      <c r="N357" s="319"/>
      <c r="O357" s="304"/>
      <c r="P357" s="305"/>
      <c r="Q357" s="318"/>
      <c r="R357" s="319"/>
      <c r="S357" s="316"/>
      <c r="T357" s="317"/>
      <c r="U357" s="318"/>
      <c r="V357" s="319"/>
      <c r="W357" s="304"/>
      <c r="X357" s="305"/>
      <c r="Y357" s="320"/>
      <c r="Z357" s="321"/>
      <c r="AA357" s="322"/>
    </row>
    <row r="358" spans="2:28" s="9" customFormat="1" ht="16.5" customHeight="1" thickBot="1" x14ac:dyDescent="0.2">
      <c r="B358" s="348"/>
      <c r="C358" s="349"/>
      <c r="D358" s="350"/>
      <c r="E358" s="93"/>
      <c r="F358" s="326" t="s">
        <v>15</v>
      </c>
      <c r="G358" s="327"/>
      <c r="H358" s="328"/>
      <c r="I358" s="288" t="str">
        <f>IF($B$347="","",SUM(I355:J357))</f>
        <v/>
      </c>
      <c r="J358" s="289"/>
      <c r="K358" s="151"/>
      <c r="L358" s="152"/>
      <c r="M358" s="288" t="str">
        <f>IF($B$347="","",SUM(M355:N357))</f>
        <v/>
      </c>
      <c r="N358" s="289"/>
      <c r="O358" s="306"/>
      <c r="P358" s="307"/>
      <c r="Q358" s="288" t="str">
        <f>IF($B$347="","",SUM(Q355:R357))</f>
        <v/>
      </c>
      <c r="R358" s="289"/>
      <c r="S358" s="150"/>
      <c r="T358" s="150"/>
      <c r="U358" s="288" t="str">
        <f>IF($B$347="","",SUM(U355:V357))</f>
        <v/>
      </c>
      <c r="V358" s="289"/>
      <c r="W358" s="306"/>
      <c r="X358" s="307"/>
      <c r="Y358" s="290"/>
      <c r="Z358" s="291"/>
      <c r="AA358" s="292"/>
    </row>
    <row r="359" spans="2:28" s="9" customFormat="1" ht="16.5" customHeight="1" x14ac:dyDescent="0.15">
      <c r="B359" s="348"/>
      <c r="C359" s="349"/>
      <c r="D359" s="350"/>
      <c r="E359" s="93"/>
      <c r="F359" s="950" t="str">
        <f>IF(AND($W$165="非該当",$B$347&lt;&gt;""),DATE(YEAR($I$27)-12,MONTH($I$27),DAY($I$27)),"")</f>
        <v/>
      </c>
      <c r="G359" s="951"/>
      <c r="H359" s="952"/>
      <c r="I359" s="296" t="str">
        <f>IF(I356="","",I356)</f>
        <v/>
      </c>
      <c r="J359" s="297"/>
      <c r="K359" s="298" t="str">
        <f>IF(B$347="","",P19)</f>
        <v/>
      </c>
      <c r="L359" s="299"/>
      <c r="M359" s="300"/>
      <c r="N359" s="301"/>
      <c r="O359" s="302" t="str">
        <f>IF(B$347="","",IF(I362&lt;1,"－",ROUND(M362/I362,3)))</f>
        <v/>
      </c>
      <c r="P359" s="303"/>
      <c r="Q359" s="296" t="str">
        <f>IF(Q356="","",Q356)</f>
        <v/>
      </c>
      <c r="R359" s="297"/>
      <c r="S359" s="298" t="str">
        <f>IF(B$347="","",P19)</f>
        <v/>
      </c>
      <c r="T359" s="299"/>
      <c r="U359" s="300"/>
      <c r="V359" s="301"/>
      <c r="W359" s="302" t="str">
        <f>IF(B$347="","",IF(Q362&lt;1,"－",ROUND(U362/Q362,3)))</f>
        <v/>
      </c>
      <c r="X359" s="303"/>
      <c r="Y359" s="308" t="s">
        <v>173</v>
      </c>
      <c r="Z359" s="309"/>
      <c r="AA359" s="310"/>
      <c r="AB359" s="62"/>
    </row>
    <row r="360" spans="2:28" s="9" customFormat="1" ht="16.5" customHeight="1" x14ac:dyDescent="0.15">
      <c r="B360" s="348"/>
      <c r="C360" s="349"/>
      <c r="D360" s="350"/>
      <c r="E360" s="28" t="str">
        <f>IF(B347="","",B347&amp;F360)</f>
        <v/>
      </c>
      <c r="F360" s="953" t="str">
        <f>IF(AND($W$165="非該当",$B$347&lt;&gt;""),DATE(YEAR($I$27)-13,MONTH($I$27),DAY($I$27)),"　　　　★")</f>
        <v>　　　　★</v>
      </c>
      <c r="G360" s="954"/>
      <c r="H360" s="955"/>
      <c r="I360" s="314" t="str">
        <f>IF(I357="","",I357)</f>
        <v/>
      </c>
      <c r="J360" s="315"/>
      <c r="K360" s="316" t="str">
        <f>IF(B$347="","★の10事業年度後在職者数","事業年度在職者数")</f>
        <v>★の10事業年度後在職者数</v>
      </c>
      <c r="L360" s="317"/>
      <c r="M360" s="318"/>
      <c r="N360" s="319"/>
      <c r="O360" s="304"/>
      <c r="P360" s="305"/>
      <c r="Q360" s="314" t="str">
        <f>IF(Q357="","",Q357)</f>
        <v/>
      </c>
      <c r="R360" s="315"/>
      <c r="S360" s="316" t="str">
        <f>IF(B$347="","★の10事業年度後在職者数","事業年度在職者数")</f>
        <v>★の10事業年度後在職者数</v>
      </c>
      <c r="T360" s="317"/>
      <c r="U360" s="318"/>
      <c r="V360" s="319"/>
      <c r="W360" s="304"/>
      <c r="X360" s="305"/>
      <c r="Y360" s="320" t="str">
        <f>IF(B$347="","",IF(OR(O359="－",W359="－",W359=0),"－",ROUND(O359/W359,2)))</f>
        <v/>
      </c>
      <c r="Z360" s="321"/>
      <c r="AA360" s="322"/>
      <c r="AB360" s="62"/>
    </row>
    <row r="361" spans="2:28" s="9" customFormat="1" ht="16.5" customHeight="1" x14ac:dyDescent="0.15">
      <c r="B361" s="348"/>
      <c r="C361" s="349"/>
      <c r="D361" s="350"/>
      <c r="E361" s="93"/>
      <c r="F361" s="956" t="str">
        <f>IF(AND($W$165="非該当",$B$347&lt;&gt;""),DATE(YEAR($I$27)-14,MONTH($I$27),DAY($I$27)),"")</f>
        <v/>
      </c>
      <c r="G361" s="957"/>
      <c r="H361" s="958"/>
      <c r="I361" s="318"/>
      <c r="J361" s="319"/>
      <c r="K361" s="316"/>
      <c r="L361" s="317"/>
      <c r="M361" s="318"/>
      <c r="N361" s="319"/>
      <c r="O361" s="304"/>
      <c r="P361" s="305"/>
      <c r="Q361" s="318"/>
      <c r="R361" s="319"/>
      <c r="S361" s="316"/>
      <c r="T361" s="317"/>
      <c r="U361" s="318"/>
      <c r="V361" s="319"/>
      <c r="W361" s="304"/>
      <c r="X361" s="305"/>
      <c r="Y361" s="320"/>
      <c r="Z361" s="321"/>
      <c r="AA361" s="322"/>
      <c r="AB361" s="62"/>
    </row>
    <row r="362" spans="2:28" s="9" customFormat="1" ht="16.5" customHeight="1" thickBot="1" x14ac:dyDescent="0.2">
      <c r="B362" s="348"/>
      <c r="C362" s="349"/>
      <c r="D362" s="350"/>
      <c r="E362" s="93"/>
      <c r="F362" s="326" t="s">
        <v>15</v>
      </c>
      <c r="G362" s="327"/>
      <c r="H362" s="328"/>
      <c r="I362" s="288" t="str">
        <f>IF($B$347="","",SUM(I359:J361))</f>
        <v/>
      </c>
      <c r="J362" s="289"/>
      <c r="K362" s="151"/>
      <c r="L362" s="152"/>
      <c r="M362" s="288" t="str">
        <f>IF($B$347="","",SUM(M359:N361))</f>
        <v/>
      </c>
      <c r="N362" s="289"/>
      <c r="O362" s="306"/>
      <c r="P362" s="307"/>
      <c r="Q362" s="288" t="str">
        <f>IF($B$347="","",SUM(Q359:R361))</f>
        <v/>
      </c>
      <c r="R362" s="289"/>
      <c r="S362" s="150"/>
      <c r="T362" s="150"/>
      <c r="U362" s="288" t="str">
        <f>IF($B$347="","",SUM(U359:V361))</f>
        <v/>
      </c>
      <c r="V362" s="289"/>
      <c r="W362" s="306"/>
      <c r="X362" s="307"/>
      <c r="Y362" s="290"/>
      <c r="Z362" s="291"/>
      <c r="AA362" s="292"/>
      <c r="AB362" s="62"/>
    </row>
    <row r="363" spans="2:28" s="9" customFormat="1" ht="16.5" customHeight="1" x14ac:dyDescent="0.15">
      <c r="B363" s="348"/>
      <c r="C363" s="349"/>
      <c r="D363" s="350"/>
      <c r="E363" s="93"/>
      <c r="F363" s="950" t="str">
        <f>IF(AND($W$165="非該当",$B$347&lt;&gt;""),DATE(YEAR($I$27)-13,MONTH($I$27),DAY($I$27)),"")</f>
        <v/>
      </c>
      <c r="G363" s="951"/>
      <c r="H363" s="952"/>
      <c r="I363" s="296" t="str">
        <f>IF(I360="","",I360)</f>
        <v/>
      </c>
      <c r="J363" s="297"/>
      <c r="K363" s="298" t="str">
        <f>IF(B$347="","",P20)</f>
        <v/>
      </c>
      <c r="L363" s="299"/>
      <c r="M363" s="300"/>
      <c r="N363" s="301"/>
      <c r="O363" s="302" t="str">
        <f>IF(B$347="","",IF(I366&lt;1,"－",ROUND(M366/I366,3)))</f>
        <v/>
      </c>
      <c r="P363" s="303"/>
      <c r="Q363" s="296" t="str">
        <f>IF(Q360="","",Q360)</f>
        <v/>
      </c>
      <c r="R363" s="297"/>
      <c r="S363" s="298" t="str">
        <f>IF(B$347="","",P20)</f>
        <v/>
      </c>
      <c r="T363" s="299"/>
      <c r="U363" s="300"/>
      <c r="V363" s="301"/>
      <c r="W363" s="302" t="str">
        <f>IF(B$347="","",IF(Q366&lt;1,"－",ROUND(U366/Q366,3)))</f>
        <v/>
      </c>
      <c r="X363" s="303"/>
      <c r="Y363" s="308" t="s">
        <v>174</v>
      </c>
      <c r="Z363" s="309"/>
      <c r="AA363" s="310"/>
    </row>
    <row r="364" spans="2:28" s="9" customFormat="1" ht="16.5" customHeight="1" x14ac:dyDescent="0.15">
      <c r="B364" s="348"/>
      <c r="C364" s="349"/>
      <c r="D364" s="350"/>
      <c r="E364" s="28" t="str">
        <f>IF(B347="","",B347&amp;F364)</f>
        <v/>
      </c>
      <c r="F364" s="953" t="str">
        <f>IF(AND($W$165="非該当",$B$347&lt;&gt;""),DATE(YEAR($I$27)-14,MONTH($I$27),DAY($I$27)),"　　　　★")</f>
        <v>　　　　★</v>
      </c>
      <c r="G364" s="954"/>
      <c r="H364" s="955"/>
      <c r="I364" s="314" t="str">
        <f>IF(I361="","",I361)</f>
        <v/>
      </c>
      <c r="J364" s="315"/>
      <c r="K364" s="316" t="str">
        <f>IF(B$347="","★の10事業年度後在職者数","事業年度在職者数")</f>
        <v>★の10事業年度後在職者数</v>
      </c>
      <c r="L364" s="317"/>
      <c r="M364" s="318"/>
      <c r="N364" s="319"/>
      <c r="O364" s="304"/>
      <c r="P364" s="305"/>
      <c r="Q364" s="314" t="str">
        <f>IF(Q361="","",Q361)</f>
        <v/>
      </c>
      <c r="R364" s="315"/>
      <c r="S364" s="316" t="str">
        <f>IF(B$347="","★の10事業年度後在職者数","事業年度在職者数")</f>
        <v>★の10事業年度後在職者数</v>
      </c>
      <c r="T364" s="317"/>
      <c r="U364" s="318"/>
      <c r="V364" s="319"/>
      <c r="W364" s="304"/>
      <c r="X364" s="305"/>
      <c r="Y364" s="320" t="str">
        <f>IF(B$347="","",IF(OR(O363="－",W363="－",W363=0),"－",ROUND(O363/W363,2)))</f>
        <v/>
      </c>
      <c r="Z364" s="321"/>
      <c r="AA364" s="322"/>
    </row>
    <row r="365" spans="2:28" s="9" customFormat="1" ht="16.5" customHeight="1" x14ac:dyDescent="0.15">
      <c r="B365" s="348"/>
      <c r="C365" s="349"/>
      <c r="D365" s="350"/>
      <c r="E365" s="93"/>
      <c r="F365" s="956" t="str">
        <f>IF(AND($W$165="非該当",$B$347&lt;&gt;""),DATE(YEAR($I$27)-15,MONTH($I$27),DAY($I$27)),"")</f>
        <v/>
      </c>
      <c r="G365" s="957"/>
      <c r="H365" s="958"/>
      <c r="I365" s="318"/>
      <c r="J365" s="319"/>
      <c r="K365" s="316"/>
      <c r="L365" s="317"/>
      <c r="M365" s="318"/>
      <c r="N365" s="319"/>
      <c r="O365" s="304"/>
      <c r="P365" s="305"/>
      <c r="Q365" s="318"/>
      <c r="R365" s="319"/>
      <c r="S365" s="316"/>
      <c r="T365" s="317"/>
      <c r="U365" s="318"/>
      <c r="V365" s="319"/>
      <c r="W365" s="304"/>
      <c r="X365" s="305"/>
      <c r="Y365" s="320"/>
      <c r="Z365" s="321"/>
      <c r="AA365" s="322"/>
    </row>
    <row r="366" spans="2:28" s="9" customFormat="1" ht="16.5" customHeight="1" thickBot="1" x14ac:dyDescent="0.2">
      <c r="B366" s="348"/>
      <c r="C366" s="349"/>
      <c r="D366" s="350"/>
      <c r="E366" s="93"/>
      <c r="F366" s="326" t="s">
        <v>15</v>
      </c>
      <c r="G366" s="327"/>
      <c r="H366" s="328"/>
      <c r="I366" s="288" t="str">
        <f>IF($B$347="","",SUM(I363:J365))</f>
        <v/>
      </c>
      <c r="J366" s="289"/>
      <c r="K366" s="151"/>
      <c r="L366" s="152"/>
      <c r="M366" s="288" t="str">
        <f>IF($B$347="","",SUM(M363:N365))</f>
        <v/>
      </c>
      <c r="N366" s="289"/>
      <c r="O366" s="306"/>
      <c r="P366" s="307"/>
      <c r="Q366" s="288" t="str">
        <f>IF($B$347="","",SUM(Q363:R365))</f>
        <v/>
      </c>
      <c r="R366" s="289"/>
      <c r="S366" s="150"/>
      <c r="T366" s="150"/>
      <c r="U366" s="288" t="str">
        <f>IF($B$347="","",SUM(U363:V365))</f>
        <v/>
      </c>
      <c r="V366" s="289"/>
      <c r="W366" s="306"/>
      <c r="X366" s="307"/>
      <c r="Y366" s="290"/>
      <c r="Z366" s="291"/>
      <c r="AA366" s="292"/>
    </row>
    <row r="367" spans="2:28" s="9" customFormat="1" ht="16.5" customHeight="1" x14ac:dyDescent="0.15">
      <c r="B367" s="348"/>
      <c r="C367" s="349"/>
      <c r="D367" s="350"/>
      <c r="E367" s="28" t="str">
        <f>B347&amp;1</f>
        <v>1</v>
      </c>
      <c r="F367" s="109" t="str">
        <f>IF(F357=""," 9～13年前採用者の３事業年度ごと継続雇用割合男女比の平均（ア～ウの平均）",S15&amp;"～"&amp;T19&amp;"採用者の３事業年度ごと継続雇用割合男女比の平均（ア～ウの平均）")</f>
        <v xml:space="preserve"> 9～13年前採用者の３事業年度ごと継続雇用割合男女比の平均（ア～ウの平均）</v>
      </c>
      <c r="G367" s="110"/>
      <c r="H367" s="110"/>
      <c r="I367" s="110"/>
      <c r="J367" s="110"/>
      <c r="K367" s="149"/>
      <c r="L367" s="149"/>
      <c r="M367" s="110"/>
      <c r="N367" s="149"/>
      <c r="O367" s="110"/>
      <c r="P367" s="110"/>
      <c r="Q367" s="110"/>
      <c r="R367" s="110"/>
      <c r="S367" s="149"/>
      <c r="T367" s="149"/>
      <c r="U367" s="110"/>
      <c r="V367" s="149"/>
      <c r="W367" s="110"/>
      <c r="X367" s="111"/>
      <c r="Y367" s="279" t="str">
        <f>IF(B347="","",IF(OR(Y348="－",Y352="－",Y356="－"),"算出不能",ROUND(AVERAGE(Y348,Y352,Y356),3)))</f>
        <v/>
      </c>
      <c r="Z367" s="280"/>
      <c r="AA367" s="281"/>
    </row>
    <row r="368" spans="2:28" s="9" customFormat="1" ht="16.5" customHeight="1" x14ac:dyDescent="0.15">
      <c r="B368" s="348"/>
      <c r="C368" s="349"/>
      <c r="D368" s="350"/>
      <c r="E368" s="28" t="str">
        <f>B347&amp;2</f>
        <v>2</v>
      </c>
      <c r="F368" s="104" t="str">
        <f>IF(F361="","10～14年前採用者の　　　　　　　　〃　　　　　　　　　　（イ～エの平均）",S16&amp;"～"&amp;T20&amp;"採用者の　　　　　　　　〃　　　　　　　　　　（イ～エの平均）")</f>
        <v>10～14年前採用者の　　　　　　　　〃　　　　　　　　　　（イ～エの平均）</v>
      </c>
      <c r="G368" s="67"/>
      <c r="H368" s="67"/>
      <c r="I368" s="67"/>
      <c r="J368" s="67"/>
      <c r="K368" s="67"/>
      <c r="L368" s="67"/>
      <c r="M368" s="67"/>
      <c r="N368" s="67"/>
      <c r="O368" s="131"/>
      <c r="P368" s="131"/>
      <c r="Q368" s="131"/>
      <c r="R368" s="131"/>
      <c r="S368" s="67"/>
      <c r="T368" s="67"/>
      <c r="U368" s="68"/>
      <c r="V368" s="67"/>
      <c r="W368" s="68"/>
      <c r="X368" s="69"/>
      <c r="Y368" s="282" t="str">
        <f>IF(B347="","",IF(OR(Y352="－",Y356="－",Y360="－"),"算出不能",ROUND(AVERAGE(Y352,Y356,Y360),3)))</f>
        <v/>
      </c>
      <c r="Z368" s="283"/>
      <c r="AA368" s="284"/>
    </row>
    <row r="369" spans="2:28" ht="16.5" customHeight="1" thickBot="1" x14ac:dyDescent="0.2">
      <c r="B369" s="351"/>
      <c r="C369" s="352"/>
      <c r="D369" s="353"/>
      <c r="E369" s="28" t="str">
        <f>B347&amp;3</f>
        <v>3</v>
      </c>
      <c r="F369" s="105" t="str">
        <f>IF(F365="","11～15年前採用者の　　　　　　　　〃　　　　　　　　　　（ウ～オの平均）",S17&amp;"～"&amp;T21&amp;"採用者の　　　　　　　　〃　　　　　　　　　　（ウ～オの平均）")</f>
        <v>11～15年前採用者の　　　　　　　　〃　　　　　　　　　　（ウ～オの平均）</v>
      </c>
      <c r="G369" s="106"/>
      <c r="H369" s="106"/>
      <c r="I369" s="106"/>
      <c r="J369" s="106"/>
      <c r="K369" s="106"/>
      <c r="L369" s="106"/>
      <c r="M369" s="106"/>
      <c r="N369" s="106"/>
      <c r="O369" s="106"/>
      <c r="P369" s="106"/>
      <c r="Q369" s="106"/>
      <c r="R369" s="106"/>
      <c r="S369" s="106"/>
      <c r="T369" s="106"/>
      <c r="U369" s="107"/>
      <c r="V369" s="106"/>
      <c r="W369" s="107"/>
      <c r="X369" s="108"/>
      <c r="Y369" s="285" t="str">
        <f>IF(B347="","",IF(OR(Y356="－",Y360="－",Y364="－"),"算出不能",ROUND(AVERAGE(Y356,Y360,Y364),3)))</f>
        <v/>
      </c>
      <c r="Z369" s="286"/>
      <c r="AA369" s="287"/>
    </row>
    <row r="370" spans="2:28" s="9" customFormat="1" ht="16.5" customHeight="1" x14ac:dyDescent="0.15">
      <c r="B370" s="345"/>
      <c r="C370" s="346"/>
      <c r="D370" s="347"/>
      <c r="E370" s="28" t="str">
        <f>IF(B370="","",B370&amp;F370)</f>
        <v/>
      </c>
      <c r="F370" s="950" t="str">
        <f>IF(AND($W$165="非該当",$B$370&lt;&gt;""),DATE(YEAR($I$27)-9,MONTH($I$27),DAY($I$27)),"")</f>
        <v/>
      </c>
      <c r="G370" s="951"/>
      <c r="H370" s="952"/>
      <c r="I370" s="296" t="str">
        <f>IF($B$370="","",VLOOKUP($E370,$E$153:$T$164,5,FALSE))</f>
        <v/>
      </c>
      <c r="J370" s="297"/>
      <c r="K370" s="298" t="str">
        <f>IF(B$370="","",P16)</f>
        <v/>
      </c>
      <c r="L370" s="299"/>
      <c r="M370" s="296" t="str">
        <f>IF($B$370="","",VLOOKUP($E370,$E$153:$T$164,7,FALSE))</f>
        <v/>
      </c>
      <c r="N370" s="297"/>
      <c r="O370" s="302" t="str">
        <f>IF(B$370="","",IF(I373&lt;1,"－",ROUND(M373/I373,3)))</f>
        <v/>
      </c>
      <c r="P370" s="303"/>
      <c r="Q370" s="296" t="str">
        <f>IF($B$370="","",VLOOKUP($E370,$E$153:$T$164,12,FALSE))</f>
        <v/>
      </c>
      <c r="R370" s="297"/>
      <c r="S370" s="298" t="str">
        <f>IF(B$370="","",P16)</f>
        <v/>
      </c>
      <c r="T370" s="299"/>
      <c r="U370" s="296" t="str">
        <f>IF($B$370="","",VLOOKUP($E370,$E$153:$T$164,14,FALSE))</f>
        <v/>
      </c>
      <c r="V370" s="297"/>
      <c r="W370" s="302" t="str">
        <f>IF(B$370="","",IF(Q373&lt;1,"－",ROUND(U373/Q373,3)))</f>
        <v/>
      </c>
      <c r="X370" s="303"/>
      <c r="Y370" s="308" t="s">
        <v>170</v>
      </c>
      <c r="Z370" s="309"/>
      <c r="AA370" s="310"/>
    </row>
    <row r="371" spans="2:28" s="9" customFormat="1" ht="16.5" customHeight="1" x14ac:dyDescent="0.15">
      <c r="B371" s="348"/>
      <c r="C371" s="349"/>
      <c r="D371" s="350"/>
      <c r="E371" s="28" t="str">
        <f>IF(B370="","",B370&amp;F371)</f>
        <v/>
      </c>
      <c r="F371" s="953" t="str">
        <f>IF(AND($W$165="非該当",$B$370&lt;&gt;""),DATE(YEAR($I$27)-10,MONTH($I$27),DAY($I$27)),"　　　　★")</f>
        <v>　　　　★</v>
      </c>
      <c r="G371" s="954"/>
      <c r="H371" s="955"/>
      <c r="I371" s="314" t="str">
        <f>IF($B$370="","",VLOOKUP($E371,$E$153:$T$164,5,FALSE))</f>
        <v/>
      </c>
      <c r="J371" s="315"/>
      <c r="K371" s="316" t="str">
        <f>IF(B$370="","★の10事業年度後在職者数","事業年度在職者数")</f>
        <v>★の10事業年度後在職者数</v>
      </c>
      <c r="L371" s="317"/>
      <c r="M371" s="314" t="str">
        <f>IF($B$370="","",VLOOKUP($E371,$E$153:$T$164,7,FALSE))</f>
        <v/>
      </c>
      <c r="N371" s="315"/>
      <c r="O371" s="304"/>
      <c r="P371" s="305"/>
      <c r="Q371" s="314" t="str">
        <f>IF($B$370="","",VLOOKUP($E371,$E$153:$T$164,12,FALSE))</f>
        <v/>
      </c>
      <c r="R371" s="315"/>
      <c r="S371" s="316" t="str">
        <f>IF(B$370="","★の10事業年度後在職者数","事業年度在職者数")</f>
        <v>★の10事業年度後在職者数</v>
      </c>
      <c r="T371" s="317"/>
      <c r="U371" s="314" t="str">
        <f>IF($B$370="","",VLOOKUP($E371,$E$153:$T$164,14,FALSE))</f>
        <v/>
      </c>
      <c r="V371" s="315"/>
      <c r="W371" s="304"/>
      <c r="X371" s="305"/>
      <c r="Y371" s="320" t="str">
        <f>IF(B$370="","",IF(OR(O370="－",W370="－",W370=0),"－",ROUND(O370/W370,2)))</f>
        <v/>
      </c>
      <c r="Z371" s="321"/>
      <c r="AA371" s="322"/>
    </row>
    <row r="372" spans="2:28" s="9" customFormat="1" ht="16.5" customHeight="1" x14ac:dyDescent="0.15">
      <c r="B372" s="348"/>
      <c r="C372" s="349"/>
      <c r="D372" s="350"/>
      <c r="E372" s="28" t="str">
        <f>IF(B370="","",B370&amp;F372)</f>
        <v/>
      </c>
      <c r="F372" s="956" t="str">
        <f>IF(AND($W$165="非該当",$B$370&lt;&gt;""),DATE(YEAR($I$27)-11,MONTH($I$27),DAY($I$27)),"")</f>
        <v/>
      </c>
      <c r="G372" s="957"/>
      <c r="H372" s="958"/>
      <c r="I372" s="314" t="str">
        <f>IF($B$370="","",VLOOKUP($E372,$E$153:$T$164,5,FALSE))</f>
        <v/>
      </c>
      <c r="J372" s="315"/>
      <c r="K372" s="316"/>
      <c r="L372" s="317"/>
      <c r="M372" s="314" t="str">
        <f>IF($B$370="","",VLOOKUP($E372,$E$153:$T$164,7,FALSE))</f>
        <v/>
      </c>
      <c r="N372" s="315"/>
      <c r="O372" s="304"/>
      <c r="P372" s="305"/>
      <c r="Q372" s="314" t="str">
        <f>IF($B$370="","",VLOOKUP($E372,$E$153:$T$164,12,FALSE))</f>
        <v/>
      </c>
      <c r="R372" s="315"/>
      <c r="S372" s="316"/>
      <c r="T372" s="317"/>
      <c r="U372" s="314" t="str">
        <f>IF($B$370="","",VLOOKUP($E372,$E$153:$T$164,14,FALSE))</f>
        <v/>
      </c>
      <c r="V372" s="315"/>
      <c r="W372" s="304"/>
      <c r="X372" s="305"/>
      <c r="Y372" s="320"/>
      <c r="Z372" s="321"/>
      <c r="AA372" s="322"/>
    </row>
    <row r="373" spans="2:28" s="9" customFormat="1" ht="16.5" customHeight="1" thickBot="1" x14ac:dyDescent="0.2">
      <c r="B373" s="348"/>
      <c r="C373" s="349"/>
      <c r="D373" s="350"/>
      <c r="E373" s="130"/>
      <c r="F373" s="326" t="s">
        <v>15</v>
      </c>
      <c r="G373" s="327"/>
      <c r="H373" s="328"/>
      <c r="I373" s="288" t="str">
        <f>IF($B$370="","",SUM(I370:J372))</f>
        <v/>
      </c>
      <c r="J373" s="289"/>
      <c r="K373" s="151"/>
      <c r="L373" s="152"/>
      <c r="M373" s="288" t="str">
        <f>IF($B$370="","",SUM(M370:N372))</f>
        <v/>
      </c>
      <c r="N373" s="289"/>
      <c r="O373" s="306"/>
      <c r="P373" s="307"/>
      <c r="Q373" s="288" t="str">
        <f>IF($B$370="","",SUM(Q370:R372))</f>
        <v/>
      </c>
      <c r="R373" s="289"/>
      <c r="S373" s="151"/>
      <c r="T373" s="152"/>
      <c r="U373" s="288" t="str">
        <f>IF($B$370="","",SUM(U370:V372))</f>
        <v/>
      </c>
      <c r="V373" s="289"/>
      <c r="W373" s="306"/>
      <c r="X373" s="307"/>
      <c r="Y373" s="290"/>
      <c r="Z373" s="291"/>
      <c r="AA373" s="292"/>
    </row>
    <row r="374" spans="2:28" s="9" customFormat="1" ht="16.5" customHeight="1" x14ac:dyDescent="0.15">
      <c r="B374" s="348"/>
      <c r="C374" s="349"/>
      <c r="D374" s="350"/>
      <c r="E374" s="130"/>
      <c r="F374" s="950" t="str">
        <f>IF(AND($W$165="非該当",$B$370&lt;&gt;""),DATE(YEAR($I$27)-10,MONTH($I$27),DAY($I$27)),"")</f>
        <v/>
      </c>
      <c r="G374" s="951"/>
      <c r="H374" s="952"/>
      <c r="I374" s="296" t="str">
        <f>IF(I371="","",I371)</f>
        <v/>
      </c>
      <c r="J374" s="297"/>
      <c r="K374" s="298" t="str">
        <f>IF(B$370="","",P17)</f>
        <v/>
      </c>
      <c r="L374" s="299"/>
      <c r="M374" s="300"/>
      <c r="N374" s="301"/>
      <c r="O374" s="302" t="str">
        <f>IF(B$370="","",IF(I377&lt;1,"－",ROUND(M377/I377,3)))</f>
        <v/>
      </c>
      <c r="P374" s="303"/>
      <c r="Q374" s="296" t="str">
        <f>IF(Q371="","",Q371)</f>
        <v/>
      </c>
      <c r="R374" s="297"/>
      <c r="S374" s="298" t="str">
        <f>IF(B$370="","",P17)</f>
        <v/>
      </c>
      <c r="T374" s="299"/>
      <c r="U374" s="300"/>
      <c r="V374" s="301"/>
      <c r="W374" s="302" t="str">
        <f>IF(B$370="","",IF(Q377&lt;1,"－",ROUND(U377/Q377,3)))</f>
        <v/>
      </c>
      <c r="X374" s="303"/>
      <c r="Y374" s="308" t="s">
        <v>171</v>
      </c>
      <c r="Z374" s="309"/>
      <c r="AA374" s="310"/>
    </row>
    <row r="375" spans="2:28" s="9" customFormat="1" ht="16.5" customHeight="1" x14ac:dyDescent="0.15">
      <c r="B375" s="348"/>
      <c r="C375" s="349"/>
      <c r="D375" s="350"/>
      <c r="E375" s="28" t="str">
        <f>IF(B370="","",B370&amp;F375&amp;"その2")</f>
        <v/>
      </c>
      <c r="F375" s="953" t="str">
        <f>IF(AND($W$165="非該当",$B$370&lt;&gt;""),DATE(YEAR($I$27)-11,MONTH($I$27),DAY($I$27)),"　　　　★")</f>
        <v>　　　　★</v>
      </c>
      <c r="G375" s="954"/>
      <c r="H375" s="955"/>
      <c r="I375" s="314" t="str">
        <f>IF(I372="","",I372)</f>
        <v/>
      </c>
      <c r="J375" s="315"/>
      <c r="K375" s="316" t="str">
        <f>IF(B$370="","★の10事業年度後在職者数","事業年度在職者数")</f>
        <v>★の10事業年度後在職者数</v>
      </c>
      <c r="L375" s="317"/>
      <c r="M375" s="318"/>
      <c r="N375" s="319"/>
      <c r="O375" s="304"/>
      <c r="P375" s="305"/>
      <c r="Q375" s="314" t="str">
        <f>IF(Q372="","",Q372)</f>
        <v/>
      </c>
      <c r="R375" s="315"/>
      <c r="S375" s="316" t="str">
        <f>IF(B$370="","★の10事業年度後在職者数","事業年度在職者数")</f>
        <v>★の10事業年度後在職者数</v>
      </c>
      <c r="T375" s="317"/>
      <c r="U375" s="318"/>
      <c r="V375" s="319"/>
      <c r="W375" s="304"/>
      <c r="X375" s="305"/>
      <c r="Y375" s="320" t="str">
        <f>IF(B$370="","",IF(OR(O374="－",W374="－",W374=0),"－",ROUND(O374/W374,2)))</f>
        <v/>
      </c>
      <c r="Z375" s="321"/>
      <c r="AA375" s="322"/>
    </row>
    <row r="376" spans="2:28" s="9" customFormat="1" ht="16.5" customHeight="1" x14ac:dyDescent="0.15">
      <c r="B376" s="348"/>
      <c r="C376" s="349"/>
      <c r="D376" s="350"/>
      <c r="E376" s="130"/>
      <c r="F376" s="956" t="str">
        <f>IF(AND($W$165="非該当",$B$370&lt;&gt;""),DATE(YEAR($I$27)-12,MONTH($I$27),DAY($I$27)),"")</f>
        <v/>
      </c>
      <c r="G376" s="957"/>
      <c r="H376" s="958"/>
      <c r="I376" s="318"/>
      <c r="J376" s="319"/>
      <c r="K376" s="316"/>
      <c r="L376" s="317"/>
      <c r="M376" s="318"/>
      <c r="N376" s="319"/>
      <c r="O376" s="304"/>
      <c r="P376" s="305"/>
      <c r="Q376" s="318"/>
      <c r="R376" s="319"/>
      <c r="S376" s="316"/>
      <c r="T376" s="317"/>
      <c r="U376" s="318"/>
      <c r="V376" s="319"/>
      <c r="W376" s="304"/>
      <c r="X376" s="305"/>
      <c r="Y376" s="320"/>
      <c r="Z376" s="321"/>
      <c r="AA376" s="322"/>
    </row>
    <row r="377" spans="2:28" s="9" customFormat="1" ht="16.5" customHeight="1" thickBot="1" x14ac:dyDescent="0.2">
      <c r="B377" s="348"/>
      <c r="C377" s="349"/>
      <c r="D377" s="350"/>
      <c r="E377" s="130"/>
      <c r="F377" s="326" t="s">
        <v>15</v>
      </c>
      <c r="G377" s="327"/>
      <c r="H377" s="328"/>
      <c r="I377" s="288" t="str">
        <f>IF($B$370="","",SUM(I374:J376))</f>
        <v/>
      </c>
      <c r="J377" s="289"/>
      <c r="K377" s="151"/>
      <c r="L377" s="152"/>
      <c r="M377" s="288" t="str">
        <f>IF($B$370="","",SUM(M374:N376))</f>
        <v/>
      </c>
      <c r="N377" s="289"/>
      <c r="O377" s="306"/>
      <c r="P377" s="307"/>
      <c r="Q377" s="288" t="str">
        <f>IF($B$370="","",SUM(Q374:R376))</f>
        <v/>
      </c>
      <c r="R377" s="289"/>
      <c r="S377" s="150"/>
      <c r="T377" s="150"/>
      <c r="U377" s="288" t="str">
        <f>IF($B$370="","",SUM(U374:V376))</f>
        <v/>
      </c>
      <c r="V377" s="289"/>
      <c r="W377" s="306"/>
      <c r="X377" s="307"/>
      <c r="Y377" s="290"/>
      <c r="Z377" s="291"/>
      <c r="AA377" s="292"/>
    </row>
    <row r="378" spans="2:28" s="9" customFormat="1" ht="16.5" customHeight="1" x14ac:dyDescent="0.15">
      <c r="B378" s="348"/>
      <c r="C378" s="349"/>
      <c r="D378" s="350"/>
      <c r="E378" s="130"/>
      <c r="F378" s="950" t="str">
        <f>IF(AND($W$165="非該当",$B$370&lt;&gt;""),DATE(YEAR($I$27)-11,MONTH($I$27),DAY($I$27)),"")</f>
        <v/>
      </c>
      <c r="G378" s="951"/>
      <c r="H378" s="952"/>
      <c r="I378" s="296" t="str">
        <f>IF(I375="","",I375)</f>
        <v/>
      </c>
      <c r="J378" s="297"/>
      <c r="K378" s="298" t="str">
        <f>IF(B$370="","",P18)</f>
        <v/>
      </c>
      <c r="L378" s="299"/>
      <c r="M378" s="300"/>
      <c r="N378" s="301"/>
      <c r="O378" s="302" t="str">
        <f>IF(B$370="","",IF(I381&lt;1,"－",ROUND(M381/I381,3)))</f>
        <v/>
      </c>
      <c r="P378" s="303"/>
      <c r="Q378" s="296" t="str">
        <f>IF(Q375="","",Q375)</f>
        <v/>
      </c>
      <c r="R378" s="297"/>
      <c r="S378" s="298" t="str">
        <f>IF(B$370="","",P18)</f>
        <v/>
      </c>
      <c r="T378" s="299"/>
      <c r="U378" s="300"/>
      <c r="V378" s="301"/>
      <c r="W378" s="302" t="str">
        <f>IF(B$370="","",IF(Q381&lt;1,"－",ROUND(U381/Q381,3)))</f>
        <v/>
      </c>
      <c r="X378" s="303"/>
      <c r="Y378" s="308" t="s">
        <v>172</v>
      </c>
      <c r="Z378" s="309"/>
      <c r="AA378" s="310"/>
    </row>
    <row r="379" spans="2:28" s="9" customFormat="1" ht="16.5" customHeight="1" x14ac:dyDescent="0.15">
      <c r="B379" s="348"/>
      <c r="C379" s="349"/>
      <c r="D379" s="350"/>
      <c r="E379" s="28" t="str">
        <f>IF(B370="","",B370&amp;F379)</f>
        <v/>
      </c>
      <c r="F379" s="953" t="str">
        <f>IF(AND($W$165="非該当",$B$370&lt;&gt;""),DATE(YEAR($I$27)-12,MONTH($I$27),DAY($I$27)),"　　　　★")</f>
        <v>　　　　★</v>
      </c>
      <c r="G379" s="954"/>
      <c r="H379" s="955"/>
      <c r="I379" s="314" t="str">
        <f>IF(I376="","",I376)</f>
        <v/>
      </c>
      <c r="J379" s="315"/>
      <c r="K379" s="316" t="str">
        <f>IF(B$370="","★の10事業年度後在職者数","事業年度在職者数")</f>
        <v>★の10事業年度後在職者数</v>
      </c>
      <c r="L379" s="317"/>
      <c r="M379" s="318"/>
      <c r="N379" s="319"/>
      <c r="O379" s="304"/>
      <c r="P379" s="305"/>
      <c r="Q379" s="314" t="str">
        <f>IF(Q376="","",Q376)</f>
        <v/>
      </c>
      <c r="R379" s="315"/>
      <c r="S379" s="316" t="str">
        <f>IF(B$370="","★の10事業年度後在職者数","事業年度在職者数")</f>
        <v>★の10事業年度後在職者数</v>
      </c>
      <c r="T379" s="317"/>
      <c r="U379" s="318"/>
      <c r="V379" s="319"/>
      <c r="W379" s="304"/>
      <c r="X379" s="305"/>
      <c r="Y379" s="320" t="str">
        <f>IF(B$370="","",IF(OR(O378="－",W378="－",W378=0),"－",ROUND(O378/W378,2)))</f>
        <v/>
      </c>
      <c r="Z379" s="321"/>
      <c r="AA379" s="322"/>
    </row>
    <row r="380" spans="2:28" s="9" customFormat="1" ht="16.5" customHeight="1" x14ac:dyDescent="0.15">
      <c r="B380" s="348"/>
      <c r="C380" s="349"/>
      <c r="D380" s="350"/>
      <c r="E380" s="130"/>
      <c r="F380" s="956" t="str">
        <f>IF(AND($W$165="非該当",$B$370&lt;&gt;""),DATE(YEAR($I$27)-13,MONTH($I$27),DAY($I$27)),"")</f>
        <v/>
      </c>
      <c r="G380" s="957"/>
      <c r="H380" s="958"/>
      <c r="I380" s="318"/>
      <c r="J380" s="319"/>
      <c r="K380" s="316"/>
      <c r="L380" s="317"/>
      <c r="M380" s="318"/>
      <c r="N380" s="319"/>
      <c r="O380" s="304"/>
      <c r="P380" s="305"/>
      <c r="Q380" s="318"/>
      <c r="R380" s="319"/>
      <c r="S380" s="316"/>
      <c r="T380" s="317"/>
      <c r="U380" s="318"/>
      <c r="V380" s="319"/>
      <c r="W380" s="304"/>
      <c r="X380" s="305"/>
      <c r="Y380" s="320"/>
      <c r="Z380" s="321"/>
      <c r="AA380" s="322"/>
    </row>
    <row r="381" spans="2:28" s="9" customFormat="1" ht="16.5" customHeight="1" thickBot="1" x14ac:dyDescent="0.2">
      <c r="B381" s="348"/>
      <c r="C381" s="349"/>
      <c r="D381" s="350"/>
      <c r="E381" s="130"/>
      <c r="F381" s="326" t="s">
        <v>15</v>
      </c>
      <c r="G381" s="327"/>
      <c r="H381" s="328"/>
      <c r="I381" s="288" t="str">
        <f>IF($B$370="","",SUM(I378:J380))</f>
        <v/>
      </c>
      <c r="J381" s="289"/>
      <c r="K381" s="151"/>
      <c r="L381" s="152"/>
      <c r="M381" s="288" t="str">
        <f>IF($B$370="","",SUM(M378:N380))</f>
        <v/>
      </c>
      <c r="N381" s="289"/>
      <c r="O381" s="306"/>
      <c r="P381" s="307"/>
      <c r="Q381" s="288" t="str">
        <f>IF($B$370="","",SUM(Q378:R380))</f>
        <v/>
      </c>
      <c r="R381" s="289"/>
      <c r="S381" s="150"/>
      <c r="T381" s="150"/>
      <c r="U381" s="288" t="str">
        <f>IF($B$370="","",SUM(U378:V380))</f>
        <v/>
      </c>
      <c r="V381" s="289"/>
      <c r="W381" s="306"/>
      <c r="X381" s="307"/>
      <c r="Y381" s="290"/>
      <c r="Z381" s="291"/>
      <c r="AA381" s="292"/>
    </row>
    <row r="382" spans="2:28" s="9" customFormat="1" ht="16.5" customHeight="1" x14ac:dyDescent="0.15">
      <c r="B382" s="348"/>
      <c r="C382" s="349"/>
      <c r="D382" s="350"/>
      <c r="E382" s="130"/>
      <c r="F382" s="950" t="str">
        <f>IF(AND($W$165="非該当",$B$370&lt;&gt;""),DATE(YEAR($I$27)-12,MONTH($I$27),DAY($I$27)),"")</f>
        <v/>
      </c>
      <c r="G382" s="951"/>
      <c r="H382" s="952"/>
      <c r="I382" s="296" t="str">
        <f>IF(I379="","",I379)</f>
        <v/>
      </c>
      <c r="J382" s="297"/>
      <c r="K382" s="298" t="str">
        <f>IF(B$370="","",P19)</f>
        <v/>
      </c>
      <c r="L382" s="299"/>
      <c r="M382" s="300"/>
      <c r="N382" s="301"/>
      <c r="O382" s="302" t="str">
        <f>IF(B$370="","",IF(I385&lt;1,"－",ROUND(M385/I385,3)))</f>
        <v/>
      </c>
      <c r="P382" s="303"/>
      <c r="Q382" s="296" t="str">
        <f>IF(Q379="","",Q379)</f>
        <v/>
      </c>
      <c r="R382" s="297"/>
      <c r="S382" s="298" t="str">
        <f>IF(B$370="","",P19)</f>
        <v/>
      </c>
      <c r="T382" s="299"/>
      <c r="U382" s="300"/>
      <c r="V382" s="301"/>
      <c r="W382" s="302" t="str">
        <f>IF(B$370="","",IF(Q385&lt;1,"－",ROUND(U385/Q385,3)))</f>
        <v/>
      </c>
      <c r="X382" s="303"/>
      <c r="Y382" s="308" t="s">
        <v>173</v>
      </c>
      <c r="Z382" s="309"/>
      <c r="AA382" s="310"/>
      <c r="AB382" s="62"/>
    </row>
    <row r="383" spans="2:28" s="9" customFormat="1" ht="16.5" customHeight="1" x14ac:dyDescent="0.15">
      <c r="B383" s="348"/>
      <c r="C383" s="349"/>
      <c r="D383" s="350"/>
      <c r="E383" s="28" t="str">
        <f>IF(B370="","",B370&amp;F383)</f>
        <v/>
      </c>
      <c r="F383" s="953" t="str">
        <f>IF(AND($W$165="非該当",$B$370&lt;&gt;""),DATE(YEAR($I$27)-13,MONTH($I$27),DAY($I$27)),"　　　　★")</f>
        <v>　　　　★</v>
      </c>
      <c r="G383" s="954"/>
      <c r="H383" s="955"/>
      <c r="I383" s="314" t="str">
        <f>IF(I380="","",I380)</f>
        <v/>
      </c>
      <c r="J383" s="315"/>
      <c r="K383" s="316" t="str">
        <f>IF(B$370="","★の10事業年度後在職者数","事業年度在職者数")</f>
        <v>★の10事業年度後在職者数</v>
      </c>
      <c r="L383" s="317"/>
      <c r="M383" s="318"/>
      <c r="N383" s="319"/>
      <c r="O383" s="304"/>
      <c r="P383" s="305"/>
      <c r="Q383" s="314" t="str">
        <f>IF(Q380="","",Q380)</f>
        <v/>
      </c>
      <c r="R383" s="315"/>
      <c r="S383" s="316" t="str">
        <f>IF(B$370="","★の10事業年度後在職者数","事業年度在職者数")</f>
        <v>★の10事業年度後在職者数</v>
      </c>
      <c r="T383" s="317"/>
      <c r="U383" s="318"/>
      <c r="V383" s="319"/>
      <c r="W383" s="304"/>
      <c r="X383" s="305"/>
      <c r="Y383" s="320" t="str">
        <f>IF(B$370="","",IF(OR(O382="－",W382="－",W382=0),"－",ROUND(O382/W382,2)))</f>
        <v/>
      </c>
      <c r="Z383" s="321"/>
      <c r="AA383" s="322"/>
      <c r="AB383" s="62"/>
    </row>
    <row r="384" spans="2:28" s="9" customFormat="1" ht="16.5" customHeight="1" x14ac:dyDescent="0.15">
      <c r="B384" s="348"/>
      <c r="C384" s="349"/>
      <c r="D384" s="350"/>
      <c r="E384" s="130"/>
      <c r="F384" s="956" t="str">
        <f>IF(AND($W$165="非該当",$B$370&lt;&gt;""),DATE(YEAR($I$27)-14,MONTH($I$27),DAY($I$27)),"")</f>
        <v/>
      </c>
      <c r="G384" s="957"/>
      <c r="H384" s="958"/>
      <c r="I384" s="318"/>
      <c r="J384" s="319"/>
      <c r="K384" s="316"/>
      <c r="L384" s="317"/>
      <c r="M384" s="318"/>
      <c r="N384" s="319"/>
      <c r="O384" s="304"/>
      <c r="P384" s="305"/>
      <c r="Q384" s="318"/>
      <c r="R384" s="319"/>
      <c r="S384" s="316"/>
      <c r="T384" s="317"/>
      <c r="U384" s="318"/>
      <c r="V384" s="319"/>
      <c r="W384" s="304"/>
      <c r="X384" s="305"/>
      <c r="Y384" s="320"/>
      <c r="Z384" s="321"/>
      <c r="AA384" s="322"/>
      <c r="AB384" s="62"/>
    </row>
    <row r="385" spans="2:28" s="9" customFormat="1" ht="16.5" customHeight="1" thickBot="1" x14ac:dyDescent="0.2">
      <c r="B385" s="348"/>
      <c r="C385" s="349"/>
      <c r="D385" s="350"/>
      <c r="E385" s="130"/>
      <c r="F385" s="326" t="s">
        <v>15</v>
      </c>
      <c r="G385" s="327"/>
      <c r="H385" s="328"/>
      <c r="I385" s="288" t="str">
        <f>IF($B$370="","",SUM(I382:J384))</f>
        <v/>
      </c>
      <c r="J385" s="289"/>
      <c r="K385" s="151"/>
      <c r="L385" s="152"/>
      <c r="M385" s="288" t="str">
        <f>IF($B$370="","",SUM(M382:N384))</f>
        <v/>
      </c>
      <c r="N385" s="289"/>
      <c r="O385" s="306"/>
      <c r="P385" s="307"/>
      <c r="Q385" s="288" t="str">
        <f>IF($B$370="","",SUM(Q382:R384))</f>
        <v/>
      </c>
      <c r="R385" s="289"/>
      <c r="S385" s="150"/>
      <c r="T385" s="150"/>
      <c r="U385" s="288" t="str">
        <f>IF($B$370="","",SUM(U382:V384))</f>
        <v/>
      </c>
      <c r="V385" s="289"/>
      <c r="W385" s="306"/>
      <c r="X385" s="307"/>
      <c r="Y385" s="290"/>
      <c r="Z385" s="291"/>
      <c r="AA385" s="292"/>
      <c r="AB385" s="62"/>
    </row>
    <row r="386" spans="2:28" s="9" customFormat="1" ht="16.5" customHeight="1" x14ac:dyDescent="0.15">
      <c r="B386" s="348"/>
      <c r="C386" s="349"/>
      <c r="D386" s="350"/>
      <c r="E386" s="130"/>
      <c r="F386" s="950" t="str">
        <f>IF(AND($W$165="非該当",$B$370&lt;&gt;""),DATE(YEAR($I$27)-13,MONTH($I$27),DAY($I$27)),"")</f>
        <v/>
      </c>
      <c r="G386" s="951"/>
      <c r="H386" s="952"/>
      <c r="I386" s="296" t="str">
        <f>IF(I383="","",I383)</f>
        <v/>
      </c>
      <c r="J386" s="297"/>
      <c r="K386" s="298" t="str">
        <f>IF(B$370="","",P20)</f>
        <v/>
      </c>
      <c r="L386" s="299"/>
      <c r="M386" s="300"/>
      <c r="N386" s="301"/>
      <c r="O386" s="302" t="str">
        <f>IF(B$370="","",IF(I389&lt;1,"－",ROUND(M389/I389,3)))</f>
        <v/>
      </c>
      <c r="P386" s="303"/>
      <c r="Q386" s="296" t="str">
        <f>IF(Q383="","",Q383)</f>
        <v/>
      </c>
      <c r="R386" s="297"/>
      <c r="S386" s="298" t="str">
        <f>IF(B$370="","",P20)</f>
        <v/>
      </c>
      <c r="T386" s="299"/>
      <c r="U386" s="300"/>
      <c r="V386" s="301"/>
      <c r="W386" s="302" t="str">
        <f>IF(B$370="","",IF(Q389&lt;1,"－",ROUND(U389/Q389,3)))</f>
        <v/>
      </c>
      <c r="X386" s="303"/>
      <c r="Y386" s="308" t="s">
        <v>174</v>
      </c>
      <c r="Z386" s="309"/>
      <c r="AA386" s="310"/>
    </row>
    <row r="387" spans="2:28" s="9" customFormat="1" ht="16.5" customHeight="1" x14ac:dyDescent="0.15">
      <c r="B387" s="348"/>
      <c r="C387" s="349"/>
      <c r="D387" s="350"/>
      <c r="E387" s="28" t="str">
        <f>IF(B370="","",B370&amp;F387)</f>
        <v/>
      </c>
      <c r="F387" s="953" t="str">
        <f>IF(AND($W$165="非該当",$B$370&lt;&gt;""),DATE(YEAR($I$27)-14,MONTH($I$27),DAY($I$27)),"　　　　★")</f>
        <v>　　　　★</v>
      </c>
      <c r="G387" s="954"/>
      <c r="H387" s="955"/>
      <c r="I387" s="314" t="str">
        <f>IF(I384="","",I384)</f>
        <v/>
      </c>
      <c r="J387" s="315"/>
      <c r="K387" s="316" t="str">
        <f>IF(B$370="","★の10事業年度後在職者数","事業年度在職者数")</f>
        <v>★の10事業年度後在職者数</v>
      </c>
      <c r="L387" s="317"/>
      <c r="M387" s="318"/>
      <c r="N387" s="319"/>
      <c r="O387" s="304"/>
      <c r="P387" s="305"/>
      <c r="Q387" s="314" t="str">
        <f>IF(Q384="","",Q384)</f>
        <v/>
      </c>
      <c r="R387" s="315"/>
      <c r="S387" s="316" t="str">
        <f>IF(B$370="","★の10事業年度後在職者数","事業年度在職者数")</f>
        <v>★の10事業年度後在職者数</v>
      </c>
      <c r="T387" s="317"/>
      <c r="U387" s="318"/>
      <c r="V387" s="319"/>
      <c r="W387" s="304"/>
      <c r="X387" s="305"/>
      <c r="Y387" s="320" t="str">
        <f>IF(B$370="","",IF(OR(O386="－",W386="－",W386=0),"－",ROUND(O386/W386,2)))</f>
        <v/>
      </c>
      <c r="Z387" s="321"/>
      <c r="AA387" s="322"/>
    </row>
    <row r="388" spans="2:28" s="9" customFormat="1" ht="16.5" customHeight="1" x14ac:dyDescent="0.15">
      <c r="B388" s="348"/>
      <c r="C388" s="349"/>
      <c r="D388" s="350"/>
      <c r="E388" s="130"/>
      <c r="F388" s="956" t="str">
        <f>IF(AND($W$165="非該当",$B$370&lt;&gt;""),DATE(YEAR($I$27)-15,MONTH($I$27),DAY($I$27)),"")</f>
        <v/>
      </c>
      <c r="G388" s="957"/>
      <c r="H388" s="958"/>
      <c r="I388" s="318"/>
      <c r="J388" s="319"/>
      <c r="K388" s="316"/>
      <c r="L388" s="317"/>
      <c r="M388" s="318"/>
      <c r="N388" s="319"/>
      <c r="O388" s="304"/>
      <c r="P388" s="305"/>
      <c r="Q388" s="318"/>
      <c r="R388" s="319"/>
      <c r="S388" s="316"/>
      <c r="T388" s="317"/>
      <c r="U388" s="318"/>
      <c r="V388" s="319"/>
      <c r="W388" s="304"/>
      <c r="X388" s="305"/>
      <c r="Y388" s="320"/>
      <c r="Z388" s="321"/>
      <c r="AA388" s="322"/>
    </row>
    <row r="389" spans="2:28" s="9" customFormat="1" ht="16.5" customHeight="1" thickBot="1" x14ac:dyDescent="0.2">
      <c r="B389" s="348"/>
      <c r="C389" s="349"/>
      <c r="D389" s="350"/>
      <c r="E389" s="130"/>
      <c r="F389" s="326" t="s">
        <v>15</v>
      </c>
      <c r="G389" s="327"/>
      <c r="H389" s="328"/>
      <c r="I389" s="288" t="str">
        <f>IF($B$370="","",SUM(I386:J388))</f>
        <v/>
      </c>
      <c r="J389" s="289"/>
      <c r="K389" s="151"/>
      <c r="L389" s="152"/>
      <c r="M389" s="288" t="str">
        <f>IF($B$370="","",SUM(M386:N388))</f>
        <v/>
      </c>
      <c r="N389" s="289"/>
      <c r="O389" s="306"/>
      <c r="P389" s="307"/>
      <c r="Q389" s="288" t="str">
        <f>IF($B$370="","",SUM(Q386:R388))</f>
        <v/>
      </c>
      <c r="R389" s="289"/>
      <c r="S389" s="150"/>
      <c r="T389" s="150"/>
      <c r="U389" s="288" t="str">
        <f>IF($B$370="","",SUM(U386:V388))</f>
        <v/>
      </c>
      <c r="V389" s="289"/>
      <c r="W389" s="306"/>
      <c r="X389" s="307"/>
      <c r="Y389" s="290"/>
      <c r="Z389" s="291"/>
      <c r="AA389" s="292"/>
    </row>
    <row r="390" spans="2:28" s="9" customFormat="1" ht="16.5" customHeight="1" x14ac:dyDescent="0.15">
      <c r="B390" s="348"/>
      <c r="C390" s="349"/>
      <c r="D390" s="350"/>
      <c r="E390" s="28" t="str">
        <f>B370&amp;1</f>
        <v>1</v>
      </c>
      <c r="F390" s="109" t="str">
        <f>IF(F380=""," 9～13年前採用者の３事業年度ごと継続雇用割合男女比の平均（ア～ウの平均）",S15&amp;"～"&amp;T19&amp;"採用者の３事業年度ごと継続雇用割合男女比の平均（ア～ウの平均）")</f>
        <v xml:space="preserve"> 9～13年前採用者の３事業年度ごと継続雇用割合男女比の平均（ア～ウの平均）</v>
      </c>
      <c r="G390" s="110"/>
      <c r="H390" s="110"/>
      <c r="I390" s="110"/>
      <c r="J390" s="110"/>
      <c r="K390" s="149"/>
      <c r="L390" s="149"/>
      <c r="M390" s="110"/>
      <c r="N390" s="149"/>
      <c r="O390" s="110"/>
      <c r="P390" s="110"/>
      <c r="Q390" s="110"/>
      <c r="R390" s="110"/>
      <c r="S390" s="149"/>
      <c r="T390" s="149"/>
      <c r="U390" s="110"/>
      <c r="V390" s="149"/>
      <c r="W390" s="110"/>
      <c r="X390" s="111"/>
      <c r="Y390" s="279" t="str">
        <f>IF(B370="","",IF(OR(Y371="－",Y375="－",Y379="－"),"算出不能",ROUND(AVERAGE(Y371,Y375,Y379),3)))</f>
        <v/>
      </c>
      <c r="Z390" s="280"/>
      <c r="AA390" s="281"/>
    </row>
    <row r="391" spans="2:28" s="9" customFormat="1" ht="16.5" customHeight="1" x14ac:dyDescent="0.15">
      <c r="B391" s="348"/>
      <c r="C391" s="349"/>
      <c r="D391" s="350"/>
      <c r="E391" s="28" t="str">
        <f>B370&amp;2</f>
        <v>2</v>
      </c>
      <c r="F391" s="104" t="str">
        <f>IF(F384="","10～14年前採用者の　　　　　　　　〃　　　　　　　　　　（イ～エの平均）",S16&amp;"～"&amp;T20&amp;"採用者の　　　　　　　　〃　　　　　　　　　　（イ～エの平均）")</f>
        <v>10～14年前採用者の　　　　　　　　〃　　　　　　　　　　（イ～エの平均）</v>
      </c>
      <c r="G391" s="67"/>
      <c r="H391" s="67"/>
      <c r="I391" s="67"/>
      <c r="J391" s="67"/>
      <c r="K391" s="67"/>
      <c r="L391" s="67"/>
      <c r="M391" s="67"/>
      <c r="N391" s="67"/>
      <c r="O391" s="131"/>
      <c r="P391" s="131"/>
      <c r="Q391" s="131"/>
      <c r="R391" s="131"/>
      <c r="S391" s="67"/>
      <c r="T391" s="67"/>
      <c r="U391" s="68"/>
      <c r="V391" s="67"/>
      <c r="W391" s="68"/>
      <c r="X391" s="69"/>
      <c r="Y391" s="282" t="str">
        <f>IF(B370="","",IF(OR(Y375="－",Y379="－",Y383="－"),"算出不能",ROUND(AVERAGE(Y375,Y379,Y383),3)))</f>
        <v/>
      </c>
      <c r="Z391" s="283"/>
      <c r="AA391" s="284"/>
    </row>
    <row r="392" spans="2:28" ht="16.5" customHeight="1" thickBot="1" x14ac:dyDescent="0.2">
      <c r="B392" s="351"/>
      <c r="C392" s="352"/>
      <c r="D392" s="353"/>
      <c r="E392" s="28" t="str">
        <f>B370&amp;3</f>
        <v>3</v>
      </c>
      <c r="F392" s="105" t="str">
        <f>IF(F388="","11～15年前採用者の　　　　　　　　〃　　　　　　　　　　（ウ～オの平均）",S17&amp;"～"&amp;T21&amp;"採用者の　　　　　　　　〃　　　　　　　　　　（ウ～オの平均）")</f>
        <v>11～15年前採用者の　　　　　　　　〃　　　　　　　　　　（ウ～オの平均）</v>
      </c>
      <c r="G392" s="106"/>
      <c r="H392" s="106"/>
      <c r="I392" s="106"/>
      <c r="J392" s="106"/>
      <c r="K392" s="106"/>
      <c r="L392" s="106"/>
      <c r="M392" s="106"/>
      <c r="N392" s="106"/>
      <c r="O392" s="106"/>
      <c r="P392" s="106"/>
      <c r="Q392" s="106"/>
      <c r="R392" s="106"/>
      <c r="S392" s="106"/>
      <c r="T392" s="106"/>
      <c r="U392" s="107"/>
      <c r="V392" s="106"/>
      <c r="W392" s="107"/>
      <c r="X392" s="108"/>
      <c r="Y392" s="285" t="str">
        <f>IF(B370="","",IF(OR(Y379="－",Y383="－",Y387="－"),"算出不能",ROUND(AVERAGE(Y379,Y383,Y387),3)))</f>
        <v/>
      </c>
      <c r="Z392" s="286"/>
      <c r="AA392" s="287"/>
    </row>
    <row r="393" spans="2:28" ht="9" customHeight="1" x14ac:dyDescent="0.15">
      <c r="Y393" s="12"/>
      <c r="AA393" s="12"/>
    </row>
    <row r="394" spans="2:28" ht="17.25" customHeight="1" x14ac:dyDescent="0.15">
      <c r="B394" s="1" t="s">
        <v>204</v>
      </c>
      <c r="Y394" s="12"/>
      <c r="AA394" s="169" t="str">
        <f t="shared" ref="AA394" si="30">IF(G$23="","",G$23)</f>
        <v/>
      </c>
    </row>
    <row r="395" spans="2:28" ht="17.25" customHeight="1" x14ac:dyDescent="0.15"/>
    <row r="396" spans="2:28" ht="17.25" customHeight="1" thickBot="1" x14ac:dyDescent="0.2">
      <c r="I396" s="329" t="s">
        <v>40</v>
      </c>
      <c r="J396" s="330"/>
      <c r="K396" s="330"/>
      <c r="L396" s="330"/>
      <c r="M396" s="330"/>
      <c r="N396" s="330"/>
      <c r="O396" s="330"/>
      <c r="P396" s="331"/>
      <c r="Q396" s="329" t="s">
        <v>41</v>
      </c>
      <c r="R396" s="330"/>
      <c r="S396" s="330"/>
      <c r="T396" s="330"/>
      <c r="U396" s="330"/>
      <c r="V396" s="330"/>
      <c r="W396" s="330"/>
      <c r="X396" s="331"/>
    </row>
    <row r="397" spans="2:28" s="9" customFormat="1" ht="40.5" customHeight="1" thickBot="1" x14ac:dyDescent="0.2">
      <c r="B397" s="332" t="s">
        <v>0</v>
      </c>
      <c r="C397" s="333"/>
      <c r="D397" s="334"/>
      <c r="E397" s="64"/>
      <c r="F397" s="335" t="s">
        <v>230</v>
      </c>
      <c r="G397" s="336"/>
      <c r="H397" s="337"/>
      <c r="I397" s="338" t="s">
        <v>221</v>
      </c>
      <c r="J397" s="339"/>
      <c r="K397" s="340" t="s">
        <v>180</v>
      </c>
      <c r="L397" s="341"/>
      <c r="M397" s="341"/>
      <c r="N397" s="342"/>
      <c r="O397" s="338" t="s">
        <v>181</v>
      </c>
      <c r="P397" s="337"/>
      <c r="Q397" s="338" t="s">
        <v>221</v>
      </c>
      <c r="R397" s="343"/>
      <c r="S397" s="340" t="s">
        <v>180</v>
      </c>
      <c r="T397" s="341"/>
      <c r="U397" s="341"/>
      <c r="V397" s="342"/>
      <c r="W397" s="338" t="s">
        <v>182</v>
      </c>
      <c r="X397" s="336"/>
      <c r="Y397" s="338" t="s">
        <v>169</v>
      </c>
      <c r="Z397" s="339"/>
      <c r="AA397" s="344"/>
    </row>
    <row r="398" spans="2:28" s="9" customFormat="1" ht="16.5" customHeight="1" x14ac:dyDescent="0.15">
      <c r="B398" s="345"/>
      <c r="C398" s="346"/>
      <c r="D398" s="347"/>
      <c r="E398" s="28" t="str">
        <f>IF(B398="","",B398&amp;F398)</f>
        <v/>
      </c>
      <c r="F398" s="950" t="str">
        <f>IF(AND($W$165="非該当",$B$398&lt;&gt;""),DATE(YEAR($I$27)-9,MONTH($I$27),DAY($I$27)),"")</f>
        <v/>
      </c>
      <c r="G398" s="951"/>
      <c r="H398" s="952"/>
      <c r="I398" s="296" t="str">
        <f>IF($B$398="","",VLOOKUP($E398,$E$153:$T$164,5,FALSE))</f>
        <v/>
      </c>
      <c r="J398" s="297"/>
      <c r="K398" s="298" t="str">
        <f>IF(B$398="","",P16)</f>
        <v/>
      </c>
      <c r="L398" s="299"/>
      <c r="M398" s="296" t="str">
        <f>IF($B$398="","",VLOOKUP($E398,$E$153:$T$164,7,FALSE))</f>
        <v/>
      </c>
      <c r="N398" s="297"/>
      <c r="O398" s="302" t="str">
        <f>IF(B$398="","",IF(I401&lt;1,"－",ROUND(M401/I401,3)))</f>
        <v/>
      </c>
      <c r="P398" s="303"/>
      <c r="Q398" s="296" t="str">
        <f>IF($B$398="","",VLOOKUP($E398,$E$153:$T$164,12,FALSE))</f>
        <v/>
      </c>
      <c r="R398" s="297"/>
      <c r="S398" s="298" t="str">
        <f>IF(B$398="","",P16)</f>
        <v/>
      </c>
      <c r="T398" s="299"/>
      <c r="U398" s="296" t="str">
        <f>IF($B$398="","",VLOOKUP($E398,$E$153:$T$164,14,FALSE))</f>
        <v/>
      </c>
      <c r="V398" s="297"/>
      <c r="W398" s="302" t="str">
        <f>IF(B$398="","",IF(Q401&lt;1,"－",ROUND(U401/Q401,3)))</f>
        <v/>
      </c>
      <c r="X398" s="303"/>
      <c r="Y398" s="308" t="s">
        <v>170</v>
      </c>
      <c r="Z398" s="309"/>
      <c r="AA398" s="310"/>
    </row>
    <row r="399" spans="2:28" s="9" customFormat="1" ht="16.5" customHeight="1" x14ac:dyDescent="0.15">
      <c r="B399" s="348"/>
      <c r="C399" s="349"/>
      <c r="D399" s="350"/>
      <c r="E399" s="28" t="str">
        <f>IF(B398="","",B398&amp;F399)</f>
        <v/>
      </c>
      <c r="F399" s="953" t="str">
        <f>IF(AND($W$165="非該当",$B$398&lt;&gt;""),DATE(YEAR($I$27)-10,MONTH($I$27),DAY($I$27)),"　　　　★")</f>
        <v>　　　　★</v>
      </c>
      <c r="G399" s="954"/>
      <c r="H399" s="955"/>
      <c r="I399" s="314" t="str">
        <f>IF($B$398="","",VLOOKUP($E399,$E$153:$T$164,5,FALSE))</f>
        <v/>
      </c>
      <c r="J399" s="315"/>
      <c r="K399" s="316" t="str">
        <f>IF(B$398="","★の10事業年度後在職者数","事業年度在職者数")</f>
        <v>★の10事業年度後在職者数</v>
      </c>
      <c r="L399" s="317"/>
      <c r="M399" s="314" t="str">
        <f>IF($B$398="","",VLOOKUP($E399,$E$153:$T$164,7,FALSE))</f>
        <v/>
      </c>
      <c r="N399" s="315"/>
      <c r="O399" s="304"/>
      <c r="P399" s="305"/>
      <c r="Q399" s="314" t="str">
        <f>IF($B$398="","",VLOOKUP($E399,$E$153:$T$164,12,FALSE))</f>
        <v/>
      </c>
      <c r="R399" s="315"/>
      <c r="S399" s="316" t="str">
        <f>IF(B$398="","★の10事業年度後在職者数","事業年度在職者数")</f>
        <v>★の10事業年度後在職者数</v>
      </c>
      <c r="T399" s="317"/>
      <c r="U399" s="314" t="str">
        <f>IF($B$398="","",VLOOKUP($E399,$E$153:$T$164,14,FALSE))</f>
        <v/>
      </c>
      <c r="V399" s="315"/>
      <c r="W399" s="304"/>
      <c r="X399" s="305"/>
      <c r="Y399" s="320" t="str">
        <f>IF(B$398="","",IF(OR(O398="－",W398="－",W398=0),"－",ROUND(O398/W398,2)))</f>
        <v/>
      </c>
      <c r="Z399" s="321"/>
      <c r="AA399" s="322"/>
    </row>
    <row r="400" spans="2:28" s="9" customFormat="1" ht="16.5" customHeight="1" x14ac:dyDescent="0.15">
      <c r="B400" s="348"/>
      <c r="C400" s="349"/>
      <c r="D400" s="350"/>
      <c r="E400" s="28" t="str">
        <f>IF(B398="","",B398&amp;F400)</f>
        <v/>
      </c>
      <c r="F400" s="956" t="str">
        <f>IF(AND($W$165="非該当",$B$398&lt;&gt;""),DATE(YEAR($I$27)-11,MONTH($I$27),DAY($I$27)),"")</f>
        <v/>
      </c>
      <c r="G400" s="957"/>
      <c r="H400" s="958"/>
      <c r="I400" s="314" t="str">
        <f>IF($B$398="","",VLOOKUP($E400,$E$153:$T$164,5,FALSE))</f>
        <v/>
      </c>
      <c r="J400" s="315"/>
      <c r="K400" s="316"/>
      <c r="L400" s="317"/>
      <c r="M400" s="314" t="str">
        <f>IF($B$398="","",VLOOKUP($E400,$E$153:$T$164,7,FALSE))</f>
        <v/>
      </c>
      <c r="N400" s="315"/>
      <c r="O400" s="304"/>
      <c r="P400" s="305"/>
      <c r="Q400" s="314" t="str">
        <f>IF($B$398="","",VLOOKUP($E400,$E$153:$T$164,12,FALSE))</f>
        <v/>
      </c>
      <c r="R400" s="315"/>
      <c r="S400" s="316"/>
      <c r="T400" s="317"/>
      <c r="U400" s="314" t="str">
        <f>IF($B$398="","",VLOOKUP($E400,$E$153:$T$164,14,FALSE))</f>
        <v/>
      </c>
      <c r="V400" s="315"/>
      <c r="W400" s="304"/>
      <c r="X400" s="305"/>
      <c r="Y400" s="320"/>
      <c r="Z400" s="321"/>
      <c r="AA400" s="322"/>
    </row>
    <row r="401" spans="2:28" s="9" customFormat="1" ht="16.5" customHeight="1" thickBot="1" x14ac:dyDescent="0.2">
      <c r="B401" s="348"/>
      <c r="C401" s="349"/>
      <c r="D401" s="350"/>
      <c r="E401" s="130"/>
      <c r="F401" s="326" t="s">
        <v>15</v>
      </c>
      <c r="G401" s="327"/>
      <c r="H401" s="328"/>
      <c r="I401" s="288" t="str">
        <f>IF($B$398="","",SUM(I398:J400))</f>
        <v/>
      </c>
      <c r="J401" s="289"/>
      <c r="K401" s="151"/>
      <c r="L401" s="152"/>
      <c r="M401" s="288" t="str">
        <f>IF($B$398="","",SUM(M398:N400))</f>
        <v/>
      </c>
      <c r="N401" s="289"/>
      <c r="O401" s="306"/>
      <c r="P401" s="307"/>
      <c r="Q401" s="288" t="str">
        <f>IF($B$398="","",SUM(Q398:R400))</f>
        <v/>
      </c>
      <c r="R401" s="289"/>
      <c r="S401" s="151"/>
      <c r="T401" s="152"/>
      <c r="U401" s="288" t="str">
        <f>IF($B$398="","",SUM(U398:V400))</f>
        <v/>
      </c>
      <c r="V401" s="289"/>
      <c r="W401" s="306"/>
      <c r="X401" s="307"/>
      <c r="Y401" s="290"/>
      <c r="Z401" s="291"/>
      <c r="AA401" s="292"/>
    </row>
    <row r="402" spans="2:28" s="9" customFormat="1" ht="16.5" customHeight="1" x14ac:dyDescent="0.15">
      <c r="B402" s="348"/>
      <c r="C402" s="349"/>
      <c r="D402" s="350"/>
      <c r="E402" s="130"/>
      <c r="F402" s="950" t="str">
        <f>IF(AND($W$165="非該当",$B$398&lt;&gt;""),DATE(YEAR($I$27)-10,MONTH($I$27),DAY($I$27)),"")</f>
        <v/>
      </c>
      <c r="G402" s="951"/>
      <c r="H402" s="952"/>
      <c r="I402" s="296" t="str">
        <f>IF(I399="","",I399)</f>
        <v/>
      </c>
      <c r="J402" s="297"/>
      <c r="K402" s="298" t="str">
        <f>IF(B$398="","",P17)</f>
        <v/>
      </c>
      <c r="L402" s="299"/>
      <c r="M402" s="300"/>
      <c r="N402" s="301"/>
      <c r="O402" s="302" t="str">
        <f>IF(B$398="","",IF(I405&lt;1,"－",ROUND(M405/I405,3)))</f>
        <v/>
      </c>
      <c r="P402" s="303"/>
      <c r="Q402" s="296" t="str">
        <f>IF(Q399="","",Q399)</f>
        <v/>
      </c>
      <c r="R402" s="297"/>
      <c r="S402" s="298" t="str">
        <f>IF(B$398="","",P17)</f>
        <v/>
      </c>
      <c r="T402" s="299"/>
      <c r="U402" s="300"/>
      <c r="V402" s="301"/>
      <c r="W402" s="302" t="str">
        <f>IF(B$398="","",IF(Q405&lt;1,"－",ROUND(U405/Q405,3)))</f>
        <v/>
      </c>
      <c r="X402" s="303"/>
      <c r="Y402" s="308" t="s">
        <v>171</v>
      </c>
      <c r="Z402" s="309"/>
      <c r="AA402" s="310"/>
    </row>
    <row r="403" spans="2:28" s="9" customFormat="1" ht="16.5" customHeight="1" x14ac:dyDescent="0.15">
      <c r="B403" s="348"/>
      <c r="C403" s="349"/>
      <c r="D403" s="350"/>
      <c r="E403" s="28" t="str">
        <f>IF(B398="","",B398&amp;F403&amp;"その2")</f>
        <v/>
      </c>
      <c r="F403" s="953" t="str">
        <f>IF(AND($W$165="非該当",$B$398&lt;&gt;""),DATE(YEAR($I$27)-11,MONTH($I$27),DAY($I$27)),"　　　　★")</f>
        <v>　　　　★</v>
      </c>
      <c r="G403" s="954"/>
      <c r="H403" s="955"/>
      <c r="I403" s="314" t="str">
        <f>IF(I400="","",I400)</f>
        <v/>
      </c>
      <c r="J403" s="315"/>
      <c r="K403" s="316" t="str">
        <f>IF(B$398="","★の10事業年度後在職者数","事業年度在職者数")</f>
        <v>★の10事業年度後在職者数</v>
      </c>
      <c r="L403" s="317"/>
      <c r="M403" s="318"/>
      <c r="N403" s="319"/>
      <c r="O403" s="304"/>
      <c r="P403" s="305"/>
      <c r="Q403" s="314" t="str">
        <f>IF(Q400="","",Q400)</f>
        <v/>
      </c>
      <c r="R403" s="315"/>
      <c r="S403" s="316" t="str">
        <f>IF(B$398="","★の10事業年度後在職者数","事業年度在職者数")</f>
        <v>★の10事業年度後在職者数</v>
      </c>
      <c r="T403" s="317"/>
      <c r="U403" s="318"/>
      <c r="V403" s="319"/>
      <c r="W403" s="304"/>
      <c r="X403" s="305"/>
      <c r="Y403" s="320" t="str">
        <f>IF(B$398="","",IF(OR(O402="－",W402="－",W402=0),"－",ROUND(O402/W402,2)))</f>
        <v/>
      </c>
      <c r="Z403" s="321"/>
      <c r="AA403" s="322"/>
    </row>
    <row r="404" spans="2:28" s="9" customFormat="1" ht="16.5" customHeight="1" x14ac:dyDescent="0.15">
      <c r="B404" s="348"/>
      <c r="C404" s="349"/>
      <c r="D404" s="350"/>
      <c r="E404" s="130"/>
      <c r="F404" s="956" t="str">
        <f>IF(AND($W$165="非該当",$B$398&lt;&gt;""),DATE(YEAR($I$27)-12,MONTH($I$27),DAY($I$27)),"")</f>
        <v/>
      </c>
      <c r="G404" s="957"/>
      <c r="H404" s="958"/>
      <c r="I404" s="318"/>
      <c r="J404" s="319"/>
      <c r="K404" s="316"/>
      <c r="L404" s="317"/>
      <c r="M404" s="318"/>
      <c r="N404" s="319"/>
      <c r="O404" s="304"/>
      <c r="P404" s="305"/>
      <c r="Q404" s="318"/>
      <c r="R404" s="319"/>
      <c r="S404" s="316"/>
      <c r="T404" s="317"/>
      <c r="U404" s="318"/>
      <c r="V404" s="319"/>
      <c r="W404" s="304"/>
      <c r="X404" s="305"/>
      <c r="Y404" s="320"/>
      <c r="Z404" s="321"/>
      <c r="AA404" s="322"/>
    </row>
    <row r="405" spans="2:28" s="9" customFormat="1" ht="16.5" customHeight="1" thickBot="1" x14ac:dyDescent="0.2">
      <c r="B405" s="348"/>
      <c r="C405" s="349"/>
      <c r="D405" s="350"/>
      <c r="E405" s="130"/>
      <c r="F405" s="326" t="s">
        <v>15</v>
      </c>
      <c r="G405" s="327"/>
      <c r="H405" s="328"/>
      <c r="I405" s="288" t="str">
        <f>IF($B$398="","",SUM(I402:J404))</f>
        <v/>
      </c>
      <c r="J405" s="289"/>
      <c r="K405" s="151"/>
      <c r="L405" s="152"/>
      <c r="M405" s="288" t="str">
        <f>IF($B$398="","",SUM(M402:N404))</f>
        <v/>
      </c>
      <c r="N405" s="289"/>
      <c r="O405" s="306"/>
      <c r="P405" s="307"/>
      <c r="Q405" s="288" t="str">
        <f>IF($B$398="","",SUM(Q402:R404))</f>
        <v/>
      </c>
      <c r="R405" s="289"/>
      <c r="S405" s="151"/>
      <c r="T405" s="152"/>
      <c r="U405" s="288" t="str">
        <f>IF($B$398="","",SUM(U402:V404))</f>
        <v/>
      </c>
      <c r="V405" s="289"/>
      <c r="W405" s="306"/>
      <c r="X405" s="307"/>
      <c r="Y405" s="290"/>
      <c r="Z405" s="291"/>
      <c r="AA405" s="292"/>
    </row>
    <row r="406" spans="2:28" s="9" customFormat="1" ht="16.5" customHeight="1" x14ac:dyDescent="0.15">
      <c r="B406" s="348"/>
      <c r="C406" s="349"/>
      <c r="D406" s="350"/>
      <c r="E406" s="130"/>
      <c r="F406" s="950" t="str">
        <f>IF(AND($W$165="非該当",$B$398&lt;&gt;""),DATE(YEAR($I$27)-11,MONTH($I$27),DAY($I$27)),"")</f>
        <v/>
      </c>
      <c r="G406" s="951"/>
      <c r="H406" s="952"/>
      <c r="I406" s="296" t="str">
        <f>IF(I403="","",I403)</f>
        <v/>
      </c>
      <c r="J406" s="297"/>
      <c r="K406" s="298" t="str">
        <f>IF(B$398="","",P18)</f>
        <v/>
      </c>
      <c r="L406" s="299"/>
      <c r="M406" s="300"/>
      <c r="N406" s="301"/>
      <c r="O406" s="302" t="str">
        <f>IF(B$398="","",IF(I409&lt;1,"－",ROUND(M409/I409,3)))</f>
        <v/>
      </c>
      <c r="P406" s="303"/>
      <c r="Q406" s="296" t="str">
        <f>IF(Q403="","",Q403)</f>
        <v/>
      </c>
      <c r="R406" s="297"/>
      <c r="S406" s="298" t="str">
        <f>IF(B$398="","",P18)</f>
        <v/>
      </c>
      <c r="T406" s="299"/>
      <c r="U406" s="300"/>
      <c r="V406" s="301"/>
      <c r="W406" s="302" t="str">
        <f>IF(B$398="","",IF(Q409&lt;1,"－",ROUND(U409/Q409,3)))</f>
        <v/>
      </c>
      <c r="X406" s="303"/>
      <c r="Y406" s="308" t="s">
        <v>172</v>
      </c>
      <c r="Z406" s="309"/>
      <c r="AA406" s="310"/>
    </row>
    <row r="407" spans="2:28" s="9" customFormat="1" ht="16.5" customHeight="1" x14ac:dyDescent="0.15">
      <c r="B407" s="348"/>
      <c r="C407" s="349"/>
      <c r="D407" s="350"/>
      <c r="E407" s="28" t="str">
        <f>IF(B398="","",B398&amp;F407)</f>
        <v/>
      </c>
      <c r="F407" s="953" t="str">
        <f>IF(AND($W$165="非該当",$B$398&lt;&gt;""),DATE(YEAR($I$27)-12,MONTH($I$27),DAY($I$27)),"　　　　★")</f>
        <v>　　　　★</v>
      </c>
      <c r="G407" s="954"/>
      <c r="H407" s="955"/>
      <c r="I407" s="314" t="str">
        <f>IF(I404="","",I404)</f>
        <v/>
      </c>
      <c r="J407" s="315"/>
      <c r="K407" s="316" t="str">
        <f>IF(B$398="","★の10事業年度後在職者数","事業年度在職者数")</f>
        <v>★の10事業年度後在職者数</v>
      </c>
      <c r="L407" s="317"/>
      <c r="M407" s="318"/>
      <c r="N407" s="319"/>
      <c r="O407" s="304"/>
      <c r="P407" s="305"/>
      <c r="Q407" s="314" t="str">
        <f>IF(Q404="","",Q404)</f>
        <v/>
      </c>
      <c r="R407" s="315"/>
      <c r="S407" s="316" t="str">
        <f>IF(B$398="","★の10事業年度後在職者数","事業年度在職者数")</f>
        <v>★の10事業年度後在職者数</v>
      </c>
      <c r="T407" s="317"/>
      <c r="U407" s="318"/>
      <c r="V407" s="319"/>
      <c r="W407" s="304"/>
      <c r="X407" s="305"/>
      <c r="Y407" s="320" t="str">
        <f>IF(B$398="","",IF(OR(O406="－",W406="－",W406=0),"－",ROUND(O406/W406,2)))</f>
        <v/>
      </c>
      <c r="Z407" s="321"/>
      <c r="AA407" s="322"/>
    </row>
    <row r="408" spans="2:28" s="9" customFormat="1" ht="16.5" customHeight="1" x14ac:dyDescent="0.15">
      <c r="B408" s="348"/>
      <c r="C408" s="349"/>
      <c r="D408" s="350"/>
      <c r="E408" s="130"/>
      <c r="F408" s="956" t="str">
        <f>IF(AND($W$165="非該当",$B$398&lt;&gt;""),DATE(YEAR($I$27)-13,MONTH($I$27),DAY($I$27)),"")</f>
        <v/>
      </c>
      <c r="G408" s="957"/>
      <c r="H408" s="958"/>
      <c r="I408" s="318"/>
      <c r="J408" s="319"/>
      <c r="K408" s="316"/>
      <c r="L408" s="317"/>
      <c r="M408" s="318"/>
      <c r="N408" s="319"/>
      <c r="O408" s="304"/>
      <c r="P408" s="305"/>
      <c r="Q408" s="318"/>
      <c r="R408" s="319"/>
      <c r="S408" s="316"/>
      <c r="T408" s="317"/>
      <c r="U408" s="318"/>
      <c r="V408" s="319"/>
      <c r="W408" s="304"/>
      <c r="X408" s="305"/>
      <c r="Y408" s="320"/>
      <c r="Z408" s="321"/>
      <c r="AA408" s="322"/>
    </row>
    <row r="409" spans="2:28" s="9" customFormat="1" ht="16.5" customHeight="1" thickBot="1" x14ac:dyDescent="0.2">
      <c r="B409" s="348"/>
      <c r="C409" s="349"/>
      <c r="D409" s="350"/>
      <c r="E409" s="130"/>
      <c r="F409" s="326" t="s">
        <v>15</v>
      </c>
      <c r="G409" s="327"/>
      <c r="H409" s="328"/>
      <c r="I409" s="288" t="str">
        <f>IF($B$398="","",SUM(I406:J408))</f>
        <v/>
      </c>
      <c r="J409" s="289"/>
      <c r="K409" s="151"/>
      <c r="L409" s="152"/>
      <c r="M409" s="288" t="str">
        <f>IF($B$398="","",SUM(M406:N408))</f>
        <v/>
      </c>
      <c r="N409" s="289"/>
      <c r="O409" s="306"/>
      <c r="P409" s="307"/>
      <c r="Q409" s="288" t="str">
        <f>IF($B$398="","",SUM(Q406:R408))</f>
        <v/>
      </c>
      <c r="R409" s="289"/>
      <c r="S409" s="151"/>
      <c r="T409" s="152"/>
      <c r="U409" s="288" t="str">
        <f>IF($B$398="","",SUM(U406:V408))</f>
        <v/>
      </c>
      <c r="V409" s="289"/>
      <c r="W409" s="306"/>
      <c r="X409" s="307"/>
      <c r="Y409" s="290"/>
      <c r="Z409" s="291"/>
      <c r="AA409" s="292"/>
    </row>
    <row r="410" spans="2:28" s="9" customFormat="1" ht="16.5" customHeight="1" x14ac:dyDescent="0.15">
      <c r="B410" s="348"/>
      <c r="C410" s="349"/>
      <c r="D410" s="350"/>
      <c r="E410" s="130"/>
      <c r="F410" s="950" t="str">
        <f>IF(AND($W$165="非該当",$B$398&lt;&gt;""),DATE(YEAR($I$27)-12,MONTH($I$27),DAY($I$27)),"")</f>
        <v/>
      </c>
      <c r="G410" s="951"/>
      <c r="H410" s="952"/>
      <c r="I410" s="296" t="str">
        <f>IF(I407="","",I407)</f>
        <v/>
      </c>
      <c r="J410" s="297"/>
      <c r="K410" s="298" t="str">
        <f>IF(B$398="","",P19)</f>
        <v/>
      </c>
      <c r="L410" s="299"/>
      <c r="M410" s="300"/>
      <c r="N410" s="301"/>
      <c r="O410" s="302" t="str">
        <f>IF(B$398="","",IF(I413&lt;1,"－",ROUND(M413/I413,3)))</f>
        <v/>
      </c>
      <c r="P410" s="303"/>
      <c r="Q410" s="296" t="str">
        <f>IF(Q407="","",Q407)</f>
        <v/>
      </c>
      <c r="R410" s="297"/>
      <c r="S410" s="298" t="str">
        <f>IF(B$398="","",P19)</f>
        <v/>
      </c>
      <c r="T410" s="299"/>
      <c r="U410" s="300"/>
      <c r="V410" s="301"/>
      <c r="W410" s="302" t="str">
        <f>IF(B$398="","",IF(Q413&lt;1,"－",ROUND(U413/Q413,3)))</f>
        <v/>
      </c>
      <c r="X410" s="303"/>
      <c r="Y410" s="308" t="s">
        <v>173</v>
      </c>
      <c r="Z410" s="309"/>
      <c r="AA410" s="310"/>
      <c r="AB410" s="62"/>
    </row>
    <row r="411" spans="2:28" s="9" customFormat="1" ht="16.5" customHeight="1" x14ac:dyDescent="0.15">
      <c r="B411" s="348"/>
      <c r="C411" s="349"/>
      <c r="D411" s="350"/>
      <c r="E411" s="28" t="str">
        <f>IF(B398="","",B398&amp;F411)</f>
        <v/>
      </c>
      <c r="F411" s="953" t="str">
        <f>IF(AND($W$165="非該当",$B$398&lt;&gt;""),DATE(YEAR($I$27)-13,MONTH($I$27),DAY($I$27)),"　　　　★")</f>
        <v>　　　　★</v>
      </c>
      <c r="G411" s="954"/>
      <c r="H411" s="955"/>
      <c r="I411" s="314" t="str">
        <f>IF(I408="","",I408)</f>
        <v/>
      </c>
      <c r="J411" s="315"/>
      <c r="K411" s="316" t="str">
        <f>IF(B$398="","★の10事業年度後在職者数","事業年度在職者数")</f>
        <v>★の10事業年度後在職者数</v>
      </c>
      <c r="L411" s="317"/>
      <c r="M411" s="318"/>
      <c r="N411" s="319"/>
      <c r="O411" s="304"/>
      <c r="P411" s="305"/>
      <c r="Q411" s="314" t="str">
        <f>IF(Q408="","",Q408)</f>
        <v/>
      </c>
      <c r="R411" s="315"/>
      <c r="S411" s="316" t="str">
        <f>IF(B$398="","★の10事業年度後在職者数","事業年度在職者数")</f>
        <v>★の10事業年度後在職者数</v>
      </c>
      <c r="T411" s="317"/>
      <c r="U411" s="318"/>
      <c r="V411" s="319"/>
      <c r="W411" s="304"/>
      <c r="X411" s="305"/>
      <c r="Y411" s="320" t="str">
        <f>IF(B$398="","",IF(OR(O410="－",W410="－",W410=0),"－",ROUND(O410/W410,2)))</f>
        <v/>
      </c>
      <c r="Z411" s="321"/>
      <c r="AA411" s="322"/>
      <c r="AB411" s="62"/>
    </row>
    <row r="412" spans="2:28" s="9" customFormat="1" ht="16.5" customHeight="1" x14ac:dyDescent="0.15">
      <c r="B412" s="348"/>
      <c r="C412" s="349"/>
      <c r="D412" s="350"/>
      <c r="E412" s="130"/>
      <c r="F412" s="956" t="str">
        <f>IF(AND($W$165="非該当",$B$398&lt;&gt;""),DATE(YEAR($I$27)-14,MONTH($I$27),DAY($I$27)),"")</f>
        <v/>
      </c>
      <c r="G412" s="957"/>
      <c r="H412" s="958"/>
      <c r="I412" s="318"/>
      <c r="J412" s="319"/>
      <c r="K412" s="316"/>
      <c r="L412" s="317"/>
      <c r="M412" s="318"/>
      <c r="N412" s="319"/>
      <c r="O412" s="304"/>
      <c r="P412" s="305"/>
      <c r="Q412" s="318"/>
      <c r="R412" s="319"/>
      <c r="S412" s="316"/>
      <c r="T412" s="317"/>
      <c r="U412" s="318"/>
      <c r="V412" s="319"/>
      <c r="W412" s="304"/>
      <c r="X412" s="305"/>
      <c r="Y412" s="320"/>
      <c r="Z412" s="321"/>
      <c r="AA412" s="322"/>
      <c r="AB412" s="62"/>
    </row>
    <row r="413" spans="2:28" s="9" customFormat="1" ht="16.5" customHeight="1" thickBot="1" x14ac:dyDescent="0.2">
      <c r="B413" s="348"/>
      <c r="C413" s="349"/>
      <c r="D413" s="350"/>
      <c r="E413" s="130"/>
      <c r="F413" s="326" t="s">
        <v>15</v>
      </c>
      <c r="G413" s="327"/>
      <c r="H413" s="328"/>
      <c r="I413" s="288" t="str">
        <f>IF($B$398="","",SUM(I410:J412))</f>
        <v/>
      </c>
      <c r="J413" s="289"/>
      <c r="K413" s="151"/>
      <c r="L413" s="152"/>
      <c r="M413" s="288" t="str">
        <f>IF($B$398="","",SUM(M410:N412))</f>
        <v/>
      </c>
      <c r="N413" s="289"/>
      <c r="O413" s="306"/>
      <c r="P413" s="307"/>
      <c r="Q413" s="288" t="str">
        <f>IF($B$398="","",SUM(Q410:R412))</f>
        <v/>
      </c>
      <c r="R413" s="289"/>
      <c r="S413" s="151"/>
      <c r="T413" s="152"/>
      <c r="U413" s="288" t="str">
        <f>IF($B$398="","",SUM(U410:V412))</f>
        <v/>
      </c>
      <c r="V413" s="289"/>
      <c r="W413" s="306"/>
      <c r="X413" s="307"/>
      <c r="Y413" s="290"/>
      <c r="Z413" s="291"/>
      <c r="AA413" s="292"/>
      <c r="AB413" s="62"/>
    </row>
    <row r="414" spans="2:28" s="9" customFormat="1" ht="16.5" customHeight="1" x14ac:dyDescent="0.15">
      <c r="B414" s="348"/>
      <c r="C414" s="349"/>
      <c r="D414" s="350"/>
      <c r="E414" s="130"/>
      <c r="F414" s="950" t="str">
        <f>IF(AND($W$165="非該当",$B$398&lt;&gt;""),DATE(YEAR($I$27)-13,MONTH($I$27),DAY($I$27)),"")</f>
        <v/>
      </c>
      <c r="G414" s="951"/>
      <c r="H414" s="952"/>
      <c r="I414" s="296" t="str">
        <f>IF(I411="","",I411)</f>
        <v/>
      </c>
      <c r="J414" s="297"/>
      <c r="K414" s="298" t="str">
        <f>IF(B$398="","",P20)</f>
        <v/>
      </c>
      <c r="L414" s="299"/>
      <c r="M414" s="300"/>
      <c r="N414" s="301"/>
      <c r="O414" s="302" t="str">
        <f>IF(B$398="","",IF(I417&lt;1,"－",ROUND(M417/I417,3)))</f>
        <v/>
      </c>
      <c r="P414" s="303"/>
      <c r="Q414" s="296" t="str">
        <f>IF(Q411="","",Q411)</f>
        <v/>
      </c>
      <c r="R414" s="297"/>
      <c r="S414" s="298" t="str">
        <f>IF(B$398="","",P20)</f>
        <v/>
      </c>
      <c r="T414" s="299"/>
      <c r="U414" s="300"/>
      <c r="V414" s="301"/>
      <c r="W414" s="302" t="str">
        <f>IF(B$398="","",IF(Q417&lt;1,"－",ROUND(U417/Q417,3)))</f>
        <v/>
      </c>
      <c r="X414" s="303"/>
      <c r="Y414" s="308" t="s">
        <v>174</v>
      </c>
      <c r="Z414" s="309"/>
      <c r="AA414" s="310"/>
    </row>
    <row r="415" spans="2:28" s="9" customFormat="1" ht="16.5" customHeight="1" x14ac:dyDescent="0.15">
      <c r="B415" s="348"/>
      <c r="C415" s="349"/>
      <c r="D415" s="350"/>
      <c r="E415" s="28" t="str">
        <f>IF(B398="","",B398&amp;F415)</f>
        <v/>
      </c>
      <c r="F415" s="953" t="str">
        <f>IF(AND($W$165="非該当",$B$398&lt;&gt;""),DATE(YEAR($I$27)-14,MONTH($I$27),DAY($I$27)),"　　　　★")</f>
        <v>　　　　★</v>
      </c>
      <c r="G415" s="954"/>
      <c r="H415" s="955"/>
      <c r="I415" s="314" t="str">
        <f>IF(I412="","",I412)</f>
        <v/>
      </c>
      <c r="J415" s="315"/>
      <c r="K415" s="316" t="str">
        <f>IF(B$398="","★の10事業年度後在職者数","事業年度在職者数")</f>
        <v>★の10事業年度後在職者数</v>
      </c>
      <c r="L415" s="317"/>
      <c r="M415" s="318"/>
      <c r="N415" s="319"/>
      <c r="O415" s="304"/>
      <c r="P415" s="305"/>
      <c r="Q415" s="314" t="str">
        <f>IF(Q412="","",Q412)</f>
        <v/>
      </c>
      <c r="R415" s="315"/>
      <c r="S415" s="316" t="str">
        <f>IF(B$398="","★の10事業年度後在職者数","事業年度在職者数")</f>
        <v>★の10事業年度後在職者数</v>
      </c>
      <c r="T415" s="317"/>
      <c r="U415" s="318"/>
      <c r="V415" s="319"/>
      <c r="W415" s="304"/>
      <c r="X415" s="305"/>
      <c r="Y415" s="320" t="str">
        <f>IF(B$398="","",IF(OR(O414="－",W414="－",W414=0),"－",ROUND(O414/W414,2)))</f>
        <v/>
      </c>
      <c r="Z415" s="321"/>
      <c r="AA415" s="322"/>
    </row>
    <row r="416" spans="2:28" s="9" customFormat="1" ht="16.5" customHeight="1" x14ac:dyDescent="0.15">
      <c r="B416" s="348"/>
      <c r="C416" s="349"/>
      <c r="D416" s="350"/>
      <c r="E416" s="130"/>
      <c r="F416" s="956" t="str">
        <f>IF(AND($W$165="非該当",$B$398&lt;&gt;""),DATE(YEAR($I$27)-15,MONTH($I$27),DAY($I$27)),"")</f>
        <v/>
      </c>
      <c r="G416" s="957"/>
      <c r="H416" s="958"/>
      <c r="I416" s="318"/>
      <c r="J416" s="319"/>
      <c r="K416" s="316"/>
      <c r="L416" s="317"/>
      <c r="M416" s="318"/>
      <c r="N416" s="319"/>
      <c r="O416" s="304"/>
      <c r="P416" s="305"/>
      <c r="Q416" s="318"/>
      <c r="R416" s="319"/>
      <c r="S416" s="316"/>
      <c r="T416" s="317"/>
      <c r="U416" s="318"/>
      <c r="V416" s="319"/>
      <c r="W416" s="304"/>
      <c r="X416" s="305"/>
      <c r="Y416" s="320"/>
      <c r="Z416" s="321"/>
      <c r="AA416" s="322"/>
    </row>
    <row r="417" spans="2:27" s="9" customFormat="1" ht="16.5" customHeight="1" thickBot="1" x14ac:dyDescent="0.2">
      <c r="B417" s="348"/>
      <c r="C417" s="349"/>
      <c r="D417" s="350"/>
      <c r="E417" s="130"/>
      <c r="F417" s="326" t="s">
        <v>15</v>
      </c>
      <c r="G417" s="327"/>
      <c r="H417" s="328"/>
      <c r="I417" s="288" t="str">
        <f>IF($B$398="","",SUM(I414:J416))</f>
        <v/>
      </c>
      <c r="J417" s="289"/>
      <c r="K417" s="151"/>
      <c r="L417" s="152"/>
      <c r="M417" s="288" t="str">
        <f>IF($B$398="","",SUM(M414:N416))</f>
        <v/>
      </c>
      <c r="N417" s="289"/>
      <c r="O417" s="306"/>
      <c r="P417" s="307"/>
      <c r="Q417" s="288" t="str">
        <f>IF($B$398="","",SUM(Q414:R416))</f>
        <v/>
      </c>
      <c r="R417" s="289"/>
      <c r="S417" s="151"/>
      <c r="T417" s="152"/>
      <c r="U417" s="288" t="str">
        <f>IF($B$398="","",SUM(U414:V416))</f>
        <v/>
      </c>
      <c r="V417" s="289"/>
      <c r="W417" s="306"/>
      <c r="X417" s="307"/>
      <c r="Y417" s="290"/>
      <c r="Z417" s="291"/>
      <c r="AA417" s="292"/>
    </row>
    <row r="418" spans="2:27" s="9" customFormat="1" ht="16.5" customHeight="1" x14ac:dyDescent="0.15">
      <c r="B418" s="348"/>
      <c r="C418" s="349"/>
      <c r="D418" s="350"/>
      <c r="E418" s="28" t="str">
        <f>B398&amp;1</f>
        <v>1</v>
      </c>
      <c r="F418" s="109" t="str">
        <f>IF(F408=""," 9～13年前採用者の３事業年度ごと継続雇用割合男女比の平均（ア～ウの平均）",S15&amp;"～"&amp;T19&amp;"採用者の３事業年度ごと継続雇用割合男女比の平均（ア～ウの平均）")</f>
        <v xml:space="preserve"> 9～13年前採用者の３事業年度ごと継続雇用割合男女比の平均（ア～ウの平均）</v>
      </c>
      <c r="G418" s="110"/>
      <c r="H418" s="110"/>
      <c r="I418" s="110"/>
      <c r="J418" s="110"/>
      <c r="K418" s="149"/>
      <c r="L418" s="149"/>
      <c r="M418" s="110"/>
      <c r="N418" s="149"/>
      <c r="O418" s="110"/>
      <c r="P418" s="110"/>
      <c r="Q418" s="110"/>
      <c r="R418" s="110"/>
      <c r="S418" s="149"/>
      <c r="T418" s="149"/>
      <c r="U418" s="110"/>
      <c r="V418" s="149"/>
      <c r="W418" s="110"/>
      <c r="X418" s="111"/>
      <c r="Y418" s="279" t="str">
        <f>IF(B398="","",IF(OR(Y399="－",Y403="－",Y407="－"),"算出不能",ROUND(AVERAGE(Y399,Y403,Y407),3)))</f>
        <v/>
      </c>
      <c r="Z418" s="280"/>
      <c r="AA418" s="281"/>
    </row>
    <row r="419" spans="2:27" s="9" customFormat="1" ht="16.5" customHeight="1" x14ac:dyDescent="0.15">
      <c r="B419" s="348"/>
      <c r="C419" s="349"/>
      <c r="D419" s="350"/>
      <c r="E419" s="28" t="str">
        <f>B398&amp;2</f>
        <v>2</v>
      </c>
      <c r="F419" s="104" t="str">
        <f>IF(F412="","10～14年前採用者の　　　　　　　　〃　　　　　　　　　　（イ～エの平均）",S16&amp;"～"&amp;T20&amp;"採用者の　　　　　　　　〃　　　　　　　　　　（イ～エの平均）")</f>
        <v>10～14年前採用者の　　　　　　　　〃　　　　　　　　　　（イ～エの平均）</v>
      </c>
      <c r="G419" s="67"/>
      <c r="H419" s="67"/>
      <c r="I419" s="67"/>
      <c r="J419" s="67"/>
      <c r="K419" s="67"/>
      <c r="L419" s="67"/>
      <c r="M419" s="67"/>
      <c r="N419" s="67"/>
      <c r="O419" s="131"/>
      <c r="P419" s="131"/>
      <c r="Q419" s="131"/>
      <c r="R419" s="131"/>
      <c r="S419" s="67"/>
      <c r="T419" s="67"/>
      <c r="U419" s="68"/>
      <c r="V419" s="67"/>
      <c r="W419" s="68"/>
      <c r="X419" s="69"/>
      <c r="Y419" s="282" t="str">
        <f>IF(B398="","",IF(OR(Y403="－",Y407="－",Y411="－"),"算出不能",ROUND(AVERAGE(Y403,Y407,Y411),3)))</f>
        <v/>
      </c>
      <c r="Z419" s="283"/>
      <c r="AA419" s="284"/>
    </row>
    <row r="420" spans="2:27" ht="16.5" customHeight="1" thickBot="1" x14ac:dyDescent="0.2">
      <c r="B420" s="351"/>
      <c r="C420" s="352"/>
      <c r="D420" s="353"/>
      <c r="E420" s="28" t="str">
        <f>B398&amp;3</f>
        <v>3</v>
      </c>
      <c r="F420" s="105" t="str">
        <f>IF(F416="","11～15年前採用者の　　　　　　　　〃　　　　　　　　　　（ウ～オの平均）",S17&amp;"～"&amp;T21&amp;"採用者の　　　　　　　　〃　　　　　　　　　　（ウ～オの平均）")</f>
        <v>11～15年前採用者の　　　　　　　　〃　　　　　　　　　　（ウ～オの平均）</v>
      </c>
      <c r="G420" s="106"/>
      <c r="H420" s="106"/>
      <c r="I420" s="106"/>
      <c r="J420" s="106"/>
      <c r="K420" s="106"/>
      <c r="L420" s="106"/>
      <c r="M420" s="106"/>
      <c r="N420" s="106"/>
      <c r="O420" s="106"/>
      <c r="P420" s="106"/>
      <c r="Q420" s="106"/>
      <c r="R420" s="106"/>
      <c r="S420" s="106"/>
      <c r="T420" s="106"/>
      <c r="U420" s="107"/>
      <c r="V420" s="106"/>
      <c r="W420" s="107"/>
      <c r="X420" s="108"/>
      <c r="Y420" s="285" t="str">
        <f>IF(B398="","",IF(OR(Y407="－",Y411="－",Y415="－"),"算出不能",ROUND(AVERAGE(Y407,Y411,Y415),3)))</f>
        <v/>
      </c>
      <c r="Z420" s="286"/>
      <c r="AA420" s="287"/>
    </row>
    <row r="422" spans="2:27" ht="17.25" customHeight="1" x14ac:dyDescent="0.15"/>
    <row r="423" spans="2:27" ht="17.25" customHeight="1" x14ac:dyDescent="0.15"/>
    <row r="424" spans="2:27" ht="17.25" customHeight="1" x14ac:dyDescent="0.15"/>
    <row r="425" spans="2:27" ht="17.25" customHeight="1" x14ac:dyDescent="0.15"/>
    <row r="426" spans="2:27" ht="17.25" customHeight="1" x14ac:dyDescent="0.15"/>
    <row r="427" spans="2:27" ht="17.25" customHeight="1" x14ac:dyDescent="0.15"/>
    <row r="428" spans="2:27" ht="17.25" customHeight="1" x14ac:dyDescent="0.15"/>
    <row r="429" spans="2:27" ht="17.25" customHeight="1" x14ac:dyDescent="0.15"/>
    <row r="430" spans="2:27" ht="17.25" customHeight="1" x14ac:dyDescent="0.15"/>
    <row r="431" spans="2:27" ht="17.25" customHeight="1" x14ac:dyDescent="0.15"/>
    <row r="432" spans="2:27" ht="17.25" customHeight="1" x14ac:dyDescent="0.15"/>
    <row r="433" ht="17.25" customHeight="1" x14ac:dyDescent="0.15"/>
    <row r="434" ht="17.25" customHeight="1" x14ac:dyDescent="0.15"/>
    <row r="435" ht="17.25" customHeight="1" x14ac:dyDescent="0.15"/>
    <row r="436" ht="17.25" customHeight="1" x14ac:dyDescent="0.15"/>
    <row r="437" ht="17.25" customHeight="1" x14ac:dyDescent="0.15"/>
    <row r="438" ht="17.25" customHeight="1" x14ac:dyDescent="0.15"/>
    <row r="439" ht="17.25" customHeight="1" x14ac:dyDescent="0.15"/>
    <row r="440" ht="17.25" customHeight="1" x14ac:dyDescent="0.15"/>
    <row r="441" ht="17.25" customHeight="1" x14ac:dyDescent="0.15"/>
    <row r="442" ht="17.25" customHeight="1" x14ac:dyDescent="0.15"/>
    <row r="443" ht="17.25" customHeight="1" x14ac:dyDescent="0.15"/>
    <row r="444" ht="17.25" customHeight="1" x14ac:dyDescent="0.15"/>
    <row r="445" ht="17.25" customHeight="1" x14ac:dyDescent="0.15"/>
    <row r="446" ht="17.25" customHeight="1" x14ac:dyDescent="0.15"/>
    <row r="447" ht="17.25" customHeight="1" x14ac:dyDescent="0.15"/>
    <row r="448" ht="17.25" customHeight="1" x14ac:dyDescent="0.15"/>
    <row r="449" ht="17.25" customHeight="1" x14ac:dyDescent="0.15"/>
    <row r="450" ht="17.25" customHeight="1" x14ac:dyDescent="0.15"/>
    <row r="451" ht="17.25" customHeight="1" x14ac:dyDescent="0.15"/>
    <row r="452" ht="17.25" customHeight="1" x14ac:dyDescent="0.15"/>
    <row r="453" ht="17.25" customHeight="1" x14ac:dyDescent="0.15"/>
    <row r="454" ht="19.5" customHeight="1" x14ac:dyDescent="0.15"/>
    <row r="455" ht="19.5" customHeight="1" x14ac:dyDescent="0.15"/>
    <row r="456" ht="19.5" customHeight="1" x14ac:dyDescent="0.15"/>
    <row r="457" ht="19.5" customHeight="1" x14ac:dyDescent="0.15"/>
    <row r="458" ht="19.5" customHeight="1" x14ac:dyDescent="0.15"/>
    <row r="459" ht="19.5" customHeight="1" x14ac:dyDescent="0.15"/>
    <row r="460" ht="19.5" customHeight="1" x14ac:dyDescent="0.15"/>
    <row r="461" ht="19.5" customHeight="1" x14ac:dyDescent="0.15"/>
    <row r="462" ht="19.5" customHeight="1" x14ac:dyDescent="0.15"/>
    <row r="463" ht="19.5" customHeight="1" x14ac:dyDescent="0.15"/>
    <row r="464" ht="19.5" customHeight="1" x14ac:dyDescent="0.15"/>
    <row r="465" ht="19.5" customHeight="1" x14ac:dyDescent="0.15"/>
    <row r="466" ht="19.5" customHeight="1" x14ac:dyDescent="0.15"/>
    <row r="467" ht="19.5" customHeight="1" x14ac:dyDescent="0.15"/>
    <row r="468" ht="19.5" customHeight="1" x14ac:dyDescent="0.15"/>
    <row r="469" ht="19.5" customHeight="1" x14ac:dyDescent="0.15"/>
    <row r="470" ht="19.5" customHeight="1" x14ac:dyDescent="0.15"/>
    <row r="471" ht="19.5" customHeight="1" x14ac:dyDescent="0.15"/>
    <row r="472" ht="19.5" customHeight="1" x14ac:dyDescent="0.15"/>
    <row r="473" ht="19.5" customHeight="1" x14ac:dyDescent="0.15"/>
    <row r="474" ht="19.5" customHeight="1" x14ac:dyDescent="0.15"/>
    <row r="475" ht="19.5" customHeight="1" x14ac:dyDescent="0.15"/>
    <row r="476" ht="19.5" customHeight="1" x14ac:dyDescent="0.15"/>
    <row r="477" ht="19.5" customHeight="1" x14ac:dyDescent="0.15"/>
    <row r="478" ht="19.5" customHeight="1" x14ac:dyDescent="0.15"/>
    <row r="479" ht="19.5" customHeight="1" x14ac:dyDescent="0.15"/>
    <row r="480" ht="19.5" customHeight="1" x14ac:dyDescent="0.15"/>
    <row r="481" ht="19.5" customHeight="1" x14ac:dyDescent="0.15"/>
    <row r="482" ht="19.5" customHeight="1" x14ac:dyDescent="0.15"/>
    <row r="483" ht="19.5" customHeight="1" x14ac:dyDescent="0.15"/>
    <row r="484" ht="19.5" customHeight="1" x14ac:dyDescent="0.15"/>
    <row r="485" ht="19.5" customHeight="1" x14ac:dyDescent="0.15"/>
    <row r="486" ht="19.5" customHeight="1" x14ac:dyDescent="0.15"/>
    <row r="487" ht="19.5" customHeight="1" x14ac:dyDescent="0.15"/>
    <row r="488" ht="19.5" customHeight="1" x14ac:dyDescent="0.15"/>
    <row r="489" ht="19.5" customHeight="1" x14ac:dyDescent="0.15"/>
    <row r="490" ht="19.5" customHeight="1" x14ac:dyDescent="0.15"/>
    <row r="491" ht="19.5" customHeight="1" x14ac:dyDescent="0.15"/>
    <row r="492" ht="19.5" customHeight="1" x14ac:dyDescent="0.15"/>
    <row r="493" ht="19.5" customHeight="1" x14ac:dyDescent="0.15"/>
    <row r="494" ht="19.5" customHeight="1" x14ac:dyDescent="0.15"/>
    <row r="495" ht="19.5" customHeight="1" x14ac:dyDescent="0.15"/>
    <row r="496" ht="19.5" customHeight="1" x14ac:dyDescent="0.15"/>
    <row r="497" ht="19.5" customHeight="1" x14ac:dyDescent="0.15"/>
    <row r="498" ht="19.5" customHeight="1" x14ac:dyDescent="0.15"/>
    <row r="499" ht="19.5" customHeight="1" x14ac:dyDescent="0.15"/>
    <row r="500" ht="19.5" customHeight="1" x14ac:dyDescent="0.15"/>
    <row r="501" ht="19.5" customHeight="1" x14ac:dyDescent="0.15"/>
    <row r="502" ht="19.5" customHeight="1" x14ac:dyDescent="0.15"/>
    <row r="503" ht="19.5" customHeight="1" x14ac:dyDescent="0.15"/>
    <row r="504" ht="19.5" customHeight="1" x14ac:dyDescent="0.15"/>
    <row r="505" ht="19.5" customHeight="1" x14ac:dyDescent="0.15"/>
    <row r="506" ht="19.5" customHeight="1" x14ac:dyDescent="0.15"/>
    <row r="507" ht="19.5" customHeight="1" x14ac:dyDescent="0.15"/>
    <row r="508" ht="19.5" customHeight="1" x14ac:dyDescent="0.15"/>
    <row r="509" ht="19.5" customHeight="1" x14ac:dyDescent="0.15"/>
    <row r="510" ht="19.5" customHeight="1" x14ac:dyDescent="0.15"/>
    <row r="511" ht="19.5" customHeight="1" x14ac:dyDescent="0.15"/>
    <row r="512" ht="19.5" customHeight="1" x14ac:dyDescent="0.15"/>
    <row r="513" ht="19.5" customHeight="1" x14ac:dyDescent="0.15"/>
    <row r="514" ht="19.5" customHeight="1" x14ac:dyDescent="0.15"/>
    <row r="515" ht="19.5" customHeight="1" x14ac:dyDescent="0.15"/>
    <row r="516" ht="19.5" customHeight="1" x14ac:dyDescent="0.15"/>
    <row r="517" ht="19.5" customHeight="1" x14ac:dyDescent="0.15"/>
    <row r="518" ht="19.5" customHeight="1" x14ac:dyDescent="0.15"/>
    <row r="519" ht="19.5" customHeight="1" x14ac:dyDescent="0.15"/>
    <row r="520" ht="19.5" customHeight="1" x14ac:dyDescent="0.15"/>
    <row r="521" ht="19.5" customHeight="1" x14ac:dyDescent="0.15"/>
    <row r="522" ht="19.5" customHeight="1" x14ac:dyDescent="0.15"/>
    <row r="523" ht="19.5" customHeight="1" x14ac:dyDescent="0.15"/>
    <row r="524" ht="19.5" customHeight="1" x14ac:dyDescent="0.15"/>
    <row r="525" ht="19.5" customHeight="1" x14ac:dyDescent="0.15"/>
    <row r="526" ht="19.5" customHeight="1" x14ac:dyDescent="0.15"/>
    <row r="527" ht="19.5" customHeight="1" x14ac:dyDescent="0.15"/>
    <row r="528" ht="19.5" customHeight="1" x14ac:dyDescent="0.15"/>
    <row r="529" ht="19.5" customHeight="1" x14ac:dyDescent="0.15"/>
    <row r="530" ht="19.5" customHeight="1" x14ac:dyDescent="0.15"/>
    <row r="531" ht="19.5" customHeight="1" x14ac:dyDescent="0.15"/>
    <row r="532" ht="19.5" customHeight="1" x14ac:dyDescent="0.15"/>
    <row r="533" ht="19.5" customHeight="1" x14ac:dyDescent="0.15"/>
    <row r="534" ht="19.5" customHeight="1" x14ac:dyDescent="0.15"/>
    <row r="535" ht="19.5" customHeight="1" x14ac:dyDescent="0.15"/>
    <row r="536" ht="19.5" customHeight="1" x14ac:dyDescent="0.15"/>
    <row r="537" ht="19.5" customHeight="1" x14ac:dyDescent="0.15"/>
    <row r="538" ht="19.5" customHeight="1" x14ac:dyDescent="0.15"/>
    <row r="539" ht="19.5" customHeight="1" x14ac:dyDescent="0.15"/>
    <row r="540" ht="19.5" customHeight="1" x14ac:dyDescent="0.15"/>
    <row r="541" ht="19.5" customHeight="1" x14ac:dyDescent="0.15"/>
    <row r="542" ht="19.5" customHeight="1" x14ac:dyDescent="0.15"/>
    <row r="543" ht="19.5" customHeight="1" x14ac:dyDescent="0.15"/>
    <row r="544" ht="19.5" customHeight="1" x14ac:dyDescent="0.15"/>
    <row r="545" ht="19.5" customHeight="1" x14ac:dyDescent="0.15"/>
  </sheetData>
  <sheetProtection sheet="1" objects="1" scenarios="1"/>
  <mergeCells count="1833">
    <mergeCell ref="N36:Q36"/>
    <mergeCell ref="N37:Q37"/>
    <mergeCell ref="L204:S204"/>
    <mergeCell ref="P205:S205"/>
    <mergeCell ref="P206:S206"/>
    <mergeCell ref="P207:S207"/>
    <mergeCell ref="R299:Y299"/>
    <mergeCell ref="X294:Y295"/>
    <mergeCell ref="I283:L283"/>
    <mergeCell ref="M283:P283"/>
    <mergeCell ref="Q283:R283"/>
    <mergeCell ref="S283:U283"/>
    <mergeCell ref="T7:Z7"/>
    <mergeCell ref="L199:Q199"/>
    <mergeCell ref="L200:Q200"/>
    <mergeCell ref="V283:X283"/>
    <mergeCell ref="Y283:AA283"/>
    <mergeCell ref="Y281:AA281"/>
    <mergeCell ref="S282:U282"/>
    <mergeCell ref="V282:X282"/>
    <mergeCell ref="Y282:AA282"/>
    <mergeCell ref="Y276:AA276"/>
    <mergeCell ref="I272:L272"/>
    <mergeCell ref="M272:P272"/>
    <mergeCell ref="I261:K261"/>
    <mergeCell ref="L261:M261"/>
    <mergeCell ref="N261:O261"/>
    <mergeCell ref="P261:R261"/>
    <mergeCell ref="S261:U261"/>
    <mergeCell ref="V261:W261"/>
    <mergeCell ref="S258:U258"/>
    <mergeCell ref="V258:W258"/>
    <mergeCell ref="G331:J331"/>
    <mergeCell ref="W333:Y333"/>
    <mergeCell ref="G334:J334"/>
    <mergeCell ref="K334:N334"/>
    <mergeCell ref="O334:R334"/>
    <mergeCell ref="S334:V334"/>
    <mergeCell ref="W334:Y334"/>
    <mergeCell ref="W331:Y331"/>
    <mergeCell ref="Z331:AA331"/>
    <mergeCell ref="G332:J332"/>
    <mergeCell ref="K332:N332"/>
    <mergeCell ref="O332:R332"/>
    <mergeCell ref="S332:V332"/>
    <mergeCell ref="W332:Y332"/>
    <mergeCell ref="Z332:AA335"/>
    <mergeCell ref="G333:J333"/>
    <mergeCell ref="K333:N333"/>
    <mergeCell ref="R300:V300"/>
    <mergeCell ref="R301:V301"/>
    <mergeCell ref="R302:V302"/>
    <mergeCell ref="W300:Y300"/>
    <mergeCell ref="W301:Y301"/>
    <mergeCell ref="W302:Y302"/>
    <mergeCell ref="R31:U31"/>
    <mergeCell ref="R32:U32"/>
    <mergeCell ref="R33:U33"/>
    <mergeCell ref="R34:U34"/>
    <mergeCell ref="R35:U35"/>
    <mergeCell ref="R36:U36"/>
    <mergeCell ref="Y369:AA369"/>
    <mergeCell ref="F366:H366"/>
    <mergeCell ref="I366:J366"/>
    <mergeCell ref="Q366:R366"/>
    <mergeCell ref="Y366:AA366"/>
    <mergeCell ref="I364:J364"/>
    <mergeCell ref="Q364:R364"/>
    <mergeCell ref="Y364:AA365"/>
    <mergeCell ref="F365:H365"/>
    <mergeCell ref="I365:J365"/>
    <mergeCell ref="Q365:R365"/>
    <mergeCell ref="Y367:AA367"/>
    <mergeCell ref="Y368:AA368"/>
    <mergeCell ref="Q352:R352"/>
    <mergeCell ref="Y352:AA353"/>
    <mergeCell ref="F353:H353"/>
    <mergeCell ref="I353:J353"/>
    <mergeCell ref="Q353:R353"/>
    <mergeCell ref="W359:X362"/>
    <mergeCell ref="Y359:AA359"/>
    <mergeCell ref="B169:D169"/>
    <mergeCell ref="F169:X169"/>
    <mergeCell ref="Y169:AA169"/>
    <mergeCell ref="R293:W293"/>
    <mergeCell ref="R294:W294"/>
    <mergeCell ref="R295:W295"/>
    <mergeCell ref="T199:AA200"/>
    <mergeCell ref="L198:Q198"/>
    <mergeCell ref="W339:Y339"/>
    <mergeCell ref="G340:J340"/>
    <mergeCell ref="K340:N340"/>
    <mergeCell ref="O340:R340"/>
    <mergeCell ref="S340:V340"/>
    <mergeCell ref="W340:Y340"/>
    <mergeCell ref="Y362:AA362"/>
    <mergeCell ref="F363:H363"/>
    <mergeCell ref="I363:J363"/>
    <mergeCell ref="O363:P366"/>
    <mergeCell ref="Q363:R363"/>
    <mergeCell ref="W363:X366"/>
    <mergeCell ref="Y363:AA363"/>
    <mergeCell ref="F364:H364"/>
    <mergeCell ref="I361:J361"/>
    <mergeCell ref="Q361:R361"/>
    <mergeCell ref="F362:H362"/>
    <mergeCell ref="I362:J362"/>
    <mergeCell ref="Q362:R362"/>
    <mergeCell ref="M364:N364"/>
    <mergeCell ref="M365:N365"/>
    <mergeCell ref="Q354:R354"/>
    <mergeCell ref="Y354:AA354"/>
    <mergeCell ref="I352:J352"/>
    <mergeCell ref="F360:H360"/>
    <mergeCell ref="I360:J360"/>
    <mergeCell ref="Q360:R360"/>
    <mergeCell ref="Y360:AA361"/>
    <mergeCell ref="F361:H361"/>
    <mergeCell ref="I358:J358"/>
    <mergeCell ref="Q358:R358"/>
    <mergeCell ref="Y358:AA358"/>
    <mergeCell ref="F359:H359"/>
    <mergeCell ref="I359:J359"/>
    <mergeCell ref="O359:P362"/>
    <mergeCell ref="Q359:R359"/>
    <mergeCell ref="W355:X358"/>
    <mergeCell ref="Y355:AA355"/>
    <mergeCell ref="F356:H356"/>
    <mergeCell ref="I356:J356"/>
    <mergeCell ref="Q356:R356"/>
    <mergeCell ref="Y356:AA357"/>
    <mergeCell ref="F357:H357"/>
    <mergeCell ref="I357:J357"/>
    <mergeCell ref="F355:H355"/>
    <mergeCell ref="I355:J355"/>
    <mergeCell ref="K356:L357"/>
    <mergeCell ref="K360:L361"/>
    <mergeCell ref="Y347:AA347"/>
    <mergeCell ref="F348:H348"/>
    <mergeCell ref="I348:J348"/>
    <mergeCell ref="Q348:R348"/>
    <mergeCell ref="Y348:AA349"/>
    <mergeCell ref="F349:H349"/>
    <mergeCell ref="I349:J349"/>
    <mergeCell ref="W346:X346"/>
    <mergeCell ref="Y346:AA346"/>
    <mergeCell ref="B347:D369"/>
    <mergeCell ref="F347:H347"/>
    <mergeCell ref="I347:J347"/>
    <mergeCell ref="O347:P350"/>
    <mergeCell ref="Q347:R347"/>
    <mergeCell ref="W347:X350"/>
    <mergeCell ref="Y350:AA350"/>
    <mergeCell ref="F351:H351"/>
    <mergeCell ref="I351:J351"/>
    <mergeCell ref="O351:P354"/>
    <mergeCell ref="Q351:R351"/>
    <mergeCell ref="W351:X354"/>
    <mergeCell ref="Y351:AA351"/>
    <mergeCell ref="F352:H352"/>
    <mergeCell ref="Q349:R349"/>
    <mergeCell ref="F350:H350"/>
    <mergeCell ref="I350:J350"/>
    <mergeCell ref="Q350:R350"/>
    <mergeCell ref="O355:P358"/>
    <mergeCell ref="Q355:R355"/>
    <mergeCell ref="Q357:R357"/>
    <mergeCell ref="F358:H358"/>
    <mergeCell ref="F354:H354"/>
    <mergeCell ref="C344:Z344"/>
    <mergeCell ref="B346:D346"/>
    <mergeCell ref="F346:H346"/>
    <mergeCell ref="I346:J346"/>
    <mergeCell ref="O346:P346"/>
    <mergeCell ref="Q346:R346"/>
    <mergeCell ref="B340:F340"/>
    <mergeCell ref="B339:F339"/>
    <mergeCell ref="G339:J339"/>
    <mergeCell ref="K339:N339"/>
    <mergeCell ref="O339:R339"/>
    <mergeCell ref="S339:V339"/>
    <mergeCell ref="B338:F338"/>
    <mergeCell ref="G338:J338"/>
    <mergeCell ref="K338:N338"/>
    <mergeCell ref="O338:R338"/>
    <mergeCell ref="S338:V338"/>
    <mergeCell ref="W338:Y338"/>
    <mergeCell ref="I345:P345"/>
    <mergeCell ref="Q345:X345"/>
    <mergeCell ref="K346:N346"/>
    <mergeCell ref="S346:V346"/>
    <mergeCell ref="W318:Y320"/>
    <mergeCell ref="D319:F319"/>
    <mergeCell ref="G319:H319"/>
    <mergeCell ref="I319:J319"/>
    <mergeCell ref="K319:L319"/>
    <mergeCell ref="O319:P319"/>
    <mergeCell ref="Q319:R319"/>
    <mergeCell ref="S319:T319"/>
    <mergeCell ref="D320:F320"/>
    <mergeCell ref="S317:T317"/>
    <mergeCell ref="W315:Y317"/>
    <mergeCell ref="B335:F335"/>
    <mergeCell ref="G335:J335"/>
    <mergeCell ref="K335:N335"/>
    <mergeCell ref="O335:R335"/>
    <mergeCell ref="S335:V335"/>
    <mergeCell ref="B334:F334"/>
    <mergeCell ref="B332:F332"/>
    <mergeCell ref="B333:F333"/>
    <mergeCell ref="B331:F331"/>
    <mergeCell ref="K331:N331"/>
    <mergeCell ref="O331:R331"/>
    <mergeCell ref="S331:V331"/>
    <mergeCell ref="B323:AA323"/>
    <mergeCell ref="B324:AA324"/>
    <mergeCell ref="B325:AA325"/>
    <mergeCell ref="B326:AA326"/>
    <mergeCell ref="B327:AA327"/>
    <mergeCell ref="B328:AA328"/>
    <mergeCell ref="W335:Y335"/>
    <mergeCell ref="O333:R333"/>
    <mergeCell ref="S333:V333"/>
    <mergeCell ref="B318:C320"/>
    <mergeCell ref="D318:F318"/>
    <mergeCell ref="G318:H318"/>
    <mergeCell ref="I318:J318"/>
    <mergeCell ref="K318:L318"/>
    <mergeCell ref="M318:N320"/>
    <mergeCell ref="O318:P318"/>
    <mergeCell ref="Q318:R318"/>
    <mergeCell ref="S318:T318"/>
    <mergeCell ref="D317:F317"/>
    <mergeCell ref="G317:H317"/>
    <mergeCell ref="I317:J317"/>
    <mergeCell ref="K317:L317"/>
    <mergeCell ref="O317:P317"/>
    <mergeCell ref="Q317:R317"/>
    <mergeCell ref="S315:T315"/>
    <mergeCell ref="U315:V317"/>
    <mergeCell ref="D316:F316"/>
    <mergeCell ref="G316:H316"/>
    <mergeCell ref="I316:J316"/>
    <mergeCell ref="K316:L316"/>
    <mergeCell ref="O316:P316"/>
    <mergeCell ref="Q316:R316"/>
    <mergeCell ref="S316:T316"/>
    <mergeCell ref="G320:H320"/>
    <mergeCell ref="I320:J320"/>
    <mergeCell ref="K320:L320"/>
    <mergeCell ref="O320:P320"/>
    <mergeCell ref="Q320:R320"/>
    <mergeCell ref="S320:T320"/>
    <mergeCell ref="U318:V320"/>
    <mergeCell ref="Z308:AA310"/>
    <mergeCell ref="B309:F309"/>
    <mergeCell ref="G309:H309"/>
    <mergeCell ref="I309:J309"/>
    <mergeCell ref="K309:L309"/>
    <mergeCell ref="O309:P309"/>
    <mergeCell ref="U314:V314"/>
    <mergeCell ref="W314:Y314"/>
    <mergeCell ref="B315:C317"/>
    <mergeCell ref="D315:F315"/>
    <mergeCell ref="G315:H315"/>
    <mergeCell ref="I315:J315"/>
    <mergeCell ref="K315:L315"/>
    <mergeCell ref="M315:N317"/>
    <mergeCell ref="O315:P315"/>
    <mergeCell ref="Q315:R315"/>
    <mergeCell ref="G313:N313"/>
    <mergeCell ref="O313:V313"/>
    <mergeCell ref="B314:F314"/>
    <mergeCell ref="G314:H314"/>
    <mergeCell ref="I314:J314"/>
    <mergeCell ref="K314:L314"/>
    <mergeCell ref="M314:N314"/>
    <mergeCell ref="O314:P314"/>
    <mergeCell ref="Q314:R314"/>
    <mergeCell ref="S314:T314"/>
    <mergeCell ref="S307:T307"/>
    <mergeCell ref="U307:V307"/>
    <mergeCell ref="W307:Y307"/>
    <mergeCell ref="Z307:AA307"/>
    <mergeCell ref="B308:F308"/>
    <mergeCell ref="G308:H308"/>
    <mergeCell ref="I308:J308"/>
    <mergeCell ref="K308:L308"/>
    <mergeCell ref="M308:N310"/>
    <mergeCell ref="O308:P308"/>
    <mergeCell ref="G306:N306"/>
    <mergeCell ref="O306:V306"/>
    <mergeCell ref="B307:F307"/>
    <mergeCell ref="G307:H307"/>
    <mergeCell ref="I307:J307"/>
    <mergeCell ref="K307:L307"/>
    <mergeCell ref="M307:N307"/>
    <mergeCell ref="O307:P307"/>
    <mergeCell ref="Q307:R307"/>
    <mergeCell ref="Q309:R309"/>
    <mergeCell ref="S309:T309"/>
    <mergeCell ref="B310:F310"/>
    <mergeCell ref="G310:H310"/>
    <mergeCell ref="I310:J310"/>
    <mergeCell ref="K310:L310"/>
    <mergeCell ref="O310:P310"/>
    <mergeCell ref="Q310:R310"/>
    <mergeCell ref="S310:T310"/>
    <mergeCell ref="Q308:R308"/>
    <mergeCell ref="S308:T308"/>
    <mergeCell ref="U308:V310"/>
    <mergeCell ref="W308:Y310"/>
    <mergeCell ref="B302:D302"/>
    <mergeCell ref="F302:H302"/>
    <mergeCell ref="I302:K302"/>
    <mergeCell ref="L302:N302"/>
    <mergeCell ref="O302:Q302"/>
    <mergeCell ref="B301:D301"/>
    <mergeCell ref="F301:H301"/>
    <mergeCell ref="I301:K301"/>
    <mergeCell ref="L301:N301"/>
    <mergeCell ref="O301:Q301"/>
    <mergeCell ref="B300:D300"/>
    <mergeCell ref="F300:H300"/>
    <mergeCell ref="I300:K300"/>
    <mergeCell ref="L300:N300"/>
    <mergeCell ref="O300:Q300"/>
    <mergeCell ref="B299:D299"/>
    <mergeCell ref="F299:H299"/>
    <mergeCell ref="I299:K299"/>
    <mergeCell ref="L299:N299"/>
    <mergeCell ref="O299:Q299"/>
    <mergeCell ref="B298:D298"/>
    <mergeCell ref="F298:H298"/>
    <mergeCell ref="I298:K298"/>
    <mergeCell ref="L298:N298"/>
    <mergeCell ref="O298:Q298"/>
    <mergeCell ref="X293:Y293"/>
    <mergeCell ref="B294:D295"/>
    <mergeCell ref="F294:H295"/>
    <mergeCell ref="I294:K295"/>
    <mergeCell ref="L294:N295"/>
    <mergeCell ref="O294:Q295"/>
    <mergeCell ref="Y284:AA284"/>
    <mergeCell ref="B287:AA287"/>
    <mergeCell ref="B288:AA288"/>
    <mergeCell ref="B289:AA289"/>
    <mergeCell ref="B290:AA290"/>
    <mergeCell ref="B293:D293"/>
    <mergeCell ref="F293:H293"/>
    <mergeCell ref="I293:K293"/>
    <mergeCell ref="L293:N293"/>
    <mergeCell ref="O293:Q293"/>
    <mergeCell ref="F284:H284"/>
    <mergeCell ref="I284:L284"/>
    <mergeCell ref="M284:P284"/>
    <mergeCell ref="Q284:R284"/>
    <mergeCell ref="S284:U284"/>
    <mergeCell ref="V284:X284"/>
    <mergeCell ref="B282:D284"/>
    <mergeCell ref="F282:H282"/>
    <mergeCell ref="I282:L282"/>
    <mergeCell ref="M282:P282"/>
    <mergeCell ref="Q282:R282"/>
    <mergeCell ref="F283:H283"/>
    <mergeCell ref="F281:H281"/>
    <mergeCell ref="I281:L281"/>
    <mergeCell ref="M281:P281"/>
    <mergeCell ref="Q281:R281"/>
    <mergeCell ref="S281:U281"/>
    <mergeCell ref="V281:X281"/>
    <mergeCell ref="I280:L280"/>
    <mergeCell ref="M280:P280"/>
    <mergeCell ref="Q280:R280"/>
    <mergeCell ref="S280:U280"/>
    <mergeCell ref="V280:X280"/>
    <mergeCell ref="Y280:AA280"/>
    <mergeCell ref="Y278:AA278"/>
    <mergeCell ref="B279:D281"/>
    <mergeCell ref="F279:H279"/>
    <mergeCell ref="I279:L279"/>
    <mergeCell ref="M279:P279"/>
    <mergeCell ref="Q279:R279"/>
    <mergeCell ref="S279:U279"/>
    <mergeCell ref="V279:X279"/>
    <mergeCell ref="Y279:AA279"/>
    <mergeCell ref="F280:H280"/>
    <mergeCell ref="F278:H278"/>
    <mergeCell ref="I278:L278"/>
    <mergeCell ref="M278:P278"/>
    <mergeCell ref="Q278:R278"/>
    <mergeCell ref="S278:U278"/>
    <mergeCell ref="V278:X278"/>
    <mergeCell ref="F277:H277"/>
    <mergeCell ref="I277:L277"/>
    <mergeCell ref="M277:P277"/>
    <mergeCell ref="Q277:R277"/>
    <mergeCell ref="S277:U277"/>
    <mergeCell ref="V277:X277"/>
    <mergeCell ref="Y277:AA277"/>
    <mergeCell ref="I275:L275"/>
    <mergeCell ref="M275:P275"/>
    <mergeCell ref="Q275:AA275"/>
    <mergeCell ref="B276:D278"/>
    <mergeCell ref="F276:H276"/>
    <mergeCell ref="I276:L276"/>
    <mergeCell ref="M276:P276"/>
    <mergeCell ref="Q276:R276"/>
    <mergeCell ref="S276:U276"/>
    <mergeCell ref="V276:X276"/>
    <mergeCell ref="B273:D275"/>
    <mergeCell ref="F273:H273"/>
    <mergeCell ref="I273:L273"/>
    <mergeCell ref="M273:P273"/>
    <mergeCell ref="F274:H274"/>
    <mergeCell ref="I274:L274"/>
    <mergeCell ref="M274:P274"/>
    <mergeCell ref="F275:H275"/>
    <mergeCell ref="B270:D272"/>
    <mergeCell ref="F270:H270"/>
    <mergeCell ref="I270:L270"/>
    <mergeCell ref="M270:P270"/>
    <mergeCell ref="F271:H271"/>
    <mergeCell ref="I271:L271"/>
    <mergeCell ref="M271:P271"/>
    <mergeCell ref="F272:H272"/>
    <mergeCell ref="F264:W264"/>
    <mergeCell ref="X264:AA264"/>
    <mergeCell ref="C268:AA268"/>
    <mergeCell ref="B269:D269"/>
    <mergeCell ref="F269:H269"/>
    <mergeCell ref="I269:L269"/>
    <mergeCell ref="M269:P269"/>
    <mergeCell ref="V262:W262"/>
    <mergeCell ref="X262:Y262"/>
    <mergeCell ref="F263:H263"/>
    <mergeCell ref="I263:K263"/>
    <mergeCell ref="L263:M263"/>
    <mergeCell ref="N263:O263"/>
    <mergeCell ref="P263:R263"/>
    <mergeCell ref="S263:U263"/>
    <mergeCell ref="V263:W263"/>
    <mergeCell ref="X263:Y263"/>
    <mergeCell ref="B258:D263"/>
    <mergeCell ref="F258:H258"/>
    <mergeCell ref="I258:K258"/>
    <mergeCell ref="L258:M258"/>
    <mergeCell ref="N258:O258"/>
    <mergeCell ref="P258:R258"/>
    <mergeCell ref="F261:H261"/>
    <mergeCell ref="X258:Y258"/>
    <mergeCell ref="I256:K256"/>
    <mergeCell ref="L256:M256"/>
    <mergeCell ref="N256:O256"/>
    <mergeCell ref="P256:R256"/>
    <mergeCell ref="S256:U256"/>
    <mergeCell ref="V254:W254"/>
    <mergeCell ref="X254:Y254"/>
    <mergeCell ref="X261:Y261"/>
    <mergeCell ref="F262:H262"/>
    <mergeCell ref="I262:K262"/>
    <mergeCell ref="L262:M262"/>
    <mergeCell ref="N262:O262"/>
    <mergeCell ref="P262:R262"/>
    <mergeCell ref="S262:U262"/>
    <mergeCell ref="V259:W259"/>
    <mergeCell ref="X259:Y259"/>
    <mergeCell ref="F260:H260"/>
    <mergeCell ref="I260:K260"/>
    <mergeCell ref="L260:M260"/>
    <mergeCell ref="N260:O260"/>
    <mergeCell ref="P260:R260"/>
    <mergeCell ref="S260:U260"/>
    <mergeCell ref="V260:W260"/>
    <mergeCell ref="X260:Y260"/>
    <mergeCell ref="Z258:AA263"/>
    <mergeCell ref="F259:H259"/>
    <mergeCell ref="I259:K259"/>
    <mergeCell ref="L259:M259"/>
    <mergeCell ref="N259:O259"/>
    <mergeCell ref="P259:R259"/>
    <mergeCell ref="S259:U259"/>
    <mergeCell ref="B252:D257"/>
    <mergeCell ref="F252:H252"/>
    <mergeCell ref="I252:K252"/>
    <mergeCell ref="L252:M252"/>
    <mergeCell ref="N252:O252"/>
    <mergeCell ref="P252:R252"/>
    <mergeCell ref="S252:U252"/>
    <mergeCell ref="V252:W252"/>
    <mergeCell ref="F251:H251"/>
    <mergeCell ref="I251:K251"/>
    <mergeCell ref="L251:M251"/>
    <mergeCell ref="N251:O251"/>
    <mergeCell ref="P251:R251"/>
    <mergeCell ref="S251:U251"/>
    <mergeCell ref="V256:W256"/>
    <mergeCell ref="X256:Y256"/>
    <mergeCell ref="F257:H257"/>
    <mergeCell ref="I257:K257"/>
    <mergeCell ref="L257:M257"/>
    <mergeCell ref="N257:O257"/>
    <mergeCell ref="P257:R257"/>
    <mergeCell ref="S257:U257"/>
    <mergeCell ref="V257:W257"/>
    <mergeCell ref="X257:Y257"/>
    <mergeCell ref="F256:H256"/>
    <mergeCell ref="X252:Y252"/>
    <mergeCell ref="Z252:AA257"/>
    <mergeCell ref="F253:H253"/>
    <mergeCell ref="I253:K253"/>
    <mergeCell ref="L253:M253"/>
    <mergeCell ref="N253:O253"/>
    <mergeCell ref="P253:R253"/>
    <mergeCell ref="S253:U253"/>
    <mergeCell ref="V253:W253"/>
    <mergeCell ref="X253:Y253"/>
    <mergeCell ref="V251:W251"/>
    <mergeCell ref="X251:Y251"/>
    <mergeCell ref="F255:H255"/>
    <mergeCell ref="I255:K255"/>
    <mergeCell ref="L255:M255"/>
    <mergeCell ref="N255:O255"/>
    <mergeCell ref="P255:R255"/>
    <mergeCell ref="S255:U255"/>
    <mergeCell ref="V255:W255"/>
    <mergeCell ref="X255:Y255"/>
    <mergeCell ref="F254:H254"/>
    <mergeCell ref="I254:K254"/>
    <mergeCell ref="L254:M254"/>
    <mergeCell ref="N254:O254"/>
    <mergeCell ref="P254:R254"/>
    <mergeCell ref="S254:U254"/>
    <mergeCell ref="B246:D251"/>
    <mergeCell ref="F246:H246"/>
    <mergeCell ref="I246:K246"/>
    <mergeCell ref="L246:M246"/>
    <mergeCell ref="N246:O246"/>
    <mergeCell ref="P246:R246"/>
    <mergeCell ref="S246:U246"/>
    <mergeCell ref="V249:W249"/>
    <mergeCell ref="X249:Y249"/>
    <mergeCell ref="F250:H250"/>
    <mergeCell ref="I250:K250"/>
    <mergeCell ref="L250:M250"/>
    <mergeCell ref="N250:O250"/>
    <mergeCell ref="P250:R250"/>
    <mergeCell ref="S250:U250"/>
    <mergeCell ref="V250:W250"/>
    <mergeCell ref="X250:Y250"/>
    <mergeCell ref="F249:H249"/>
    <mergeCell ref="I249:K249"/>
    <mergeCell ref="L249:M249"/>
    <mergeCell ref="N249:O249"/>
    <mergeCell ref="P249:R249"/>
    <mergeCell ref="S249:U249"/>
    <mergeCell ref="X247:Y247"/>
    <mergeCell ref="F248:H248"/>
    <mergeCell ref="I248:K248"/>
    <mergeCell ref="L248:M248"/>
    <mergeCell ref="N248:O248"/>
    <mergeCell ref="P248:R248"/>
    <mergeCell ref="S248:U248"/>
    <mergeCell ref="V248:W248"/>
    <mergeCell ref="X248:Y248"/>
    <mergeCell ref="L234:M234"/>
    <mergeCell ref="N234:O234"/>
    <mergeCell ref="P234:R234"/>
    <mergeCell ref="S234:U234"/>
    <mergeCell ref="V246:W246"/>
    <mergeCell ref="X246:Y246"/>
    <mergeCell ref="Z246:AA251"/>
    <mergeCell ref="F247:H247"/>
    <mergeCell ref="I247:K247"/>
    <mergeCell ref="L247:M247"/>
    <mergeCell ref="N247:O247"/>
    <mergeCell ref="P247:R247"/>
    <mergeCell ref="S247:U247"/>
    <mergeCell ref="V247:W247"/>
    <mergeCell ref="V245:W245"/>
    <mergeCell ref="X245:Y245"/>
    <mergeCell ref="Z245:AA245"/>
    <mergeCell ref="P233:R233"/>
    <mergeCell ref="S233:U233"/>
    <mergeCell ref="V233:W233"/>
    <mergeCell ref="X233:Y233"/>
    <mergeCell ref="F237:W237"/>
    <mergeCell ref="X237:AA237"/>
    <mergeCell ref="B239:AA239"/>
    <mergeCell ref="B245:D245"/>
    <mergeCell ref="F245:H245"/>
    <mergeCell ref="I245:K245"/>
    <mergeCell ref="L245:M245"/>
    <mergeCell ref="N245:O245"/>
    <mergeCell ref="P245:R245"/>
    <mergeCell ref="S245:U245"/>
    <mergeCell ref="V235:W235"/>
    <mergeCell ref="X235:Y235"/>
    <mergeCell ref="F236:H236"/>
    <mergeCell ref="I236:K236"/>
    <mergeCell ref="L236:M236"/>
    <mergeCell ref="N236:O236"/>
    <mergeCell ref="P236:R236"/>
    <mergeCell ref="S236:U236"/>
    <mergeCell ref="V236:W236"/>
    <mergeCell ref="X236:Y236"/>
    <mergeCell ref="B231:D236"/>
    <mergeCell ref="F231:H231"/>
    <mergeCell ref="I231:K231"/>
    <mergeCell ref="L231:M231"/>
    <mergeCell ref="N231:O231"/>
    <mergeCell ref="P231:R231"/>
    <mergeCell ref="F234:H234"/>
    <mergeCell ref="I234:K234"/>
    <mergeCell ref="V228:W228"/>
    <mergeCell ref="X228:Y228"/>
    <mergeCell ref="F227:H227"/>
    <mergeCell ref="I227:K227"/>
    <mergeCell ref="L227:M227"/>
    <mergeCell ref="N227:O227"/>
    <mergeCell ref="P227:R227"/>
    <mergeCell ref="S227:U227"/>
    <mergeCell ref="S231:U231"/>
    <mergeCell ref="V231:W231"/>
    <mergeCell ref="X231:Y231"/>
    <mergeCell ref="Z231:AA236"/>
    <mergeCell ref="F232:H232"/>
    <mergeCell ref="I232:K232"/>
    <mergeCell ref="L232:M232"/>
    <mergeCell ref="N232:O232"/>
    <mergeCell ref="P232:R232"/>
    <mergeCell ref="S232:U232"/>
    <mergeCell ref="V234:W234"/>
    <mergeCell ref="X234:Y234"/>
    <mergeCell ref="F235:H235"/>
    <mergeCell ref="I235:K235"/>
    <mergeCell ref="L235:M235"/>
    <mergeCell ref="N235:O235"/>
    <mergeCell ref="P235:R235"/>
    <mergeCell ref="S235:U235"/>
    <mergeCell ref="V232:W232"/>
    <mergeCell ref="X232:Y232"/>
    <mergeCell ref="F233:H233"/>
    <mergeCell ref="I233:K233"/>
    <mergeCell ref="L233:M233"/>
    <mergeCell ref="N233:O233"/>
    <mergeCell ref="B225:D230"/>
    <mergeCell ref="F225:H225"/>
    <mergeCell ref="I225:K225"/>
    <mergeCell ref="L225:M225"/>
    <mergeCell ref="N225:O225"/>
    <mergeCell ref="P225:R225"/>
    <mergeCell ref="S225:U225"/>
    <mergeCell ref="V225:W225"/>
    <mergeCell ref="F224:H224"/>
    <mergeCell ref="I224:K224"/>
    <mergeCell ref="L224:M224"/>
    <mergeCell ref="N224:O224"/>
    <mergeCell ref="P224:R224"/>
    <mergeCell ref="S224:U224"/>
    <mergeCell ref="V229:W229"/>
    <mergeCell ref="X229:Y229"/>
    <mergeCell ref="F230:H230"/>
    <mergeCell ref="I230:K230"/>
    <mergeCell ref="L230:M230"/>
    <mergeCell ref="N230:O230"/>
    <mergeCell ref="P230:R230"/>
    <mergeCell ref="S230:U230"/>
    <mergeCell ref="V230:W230"/>
    <mergeCell ref="X230:Y230"/>
    <mergeCell ref="F229:H229"/>
    <mergeCell ref="I229:K229"/>
    <mergeCell ref="L229:M229"/>
    <mergeCell ref="N229:O229"/>
    <mergeCell ref="P229:R229"/>
    <mergeCell ref="S229:U229"/>
    <mergeCell ref="V227:W227"/>
    <mergeCell ref="X227:Y227"/>
    <mergeCell ref="L222:M222"/>
    <mergeCell ref="N222:O222"/>
    <mergeCell ref="P222:R222"/>
    <mergeCell ref="S222:U222"/>
    <mergeCell ref="V220:W220"/>
    <mergeCell ref="X220:Y220"/>
    <mergeCell ref="F221:H221"/>
    <mergeCell ref="I221:K221"/>
    <mergeCell ref="L221:M221"/>
    <mergeCell ref="N221:O221"/>
    <mergeCell ref="P221:R221"/>
    <mergeCell ref="S221:U221"/>
    <mergeCell ref="V221:W221"/>
    <mergeCell ref="X221:Y221"/>
    <mergeCell ref="X225:Y225"/>
    <mergeCell ref="Z225:AA230"/>
    <mergeCell ref="F226:H226"/>
    <mergeCell ref="I226:K226"/>
    <mergeCell ref="L226:M226"/>
    <mergeCell ref="N226:O226"/>
    <mergeCell ref="P226:R226"/>
    <mergeCell ref="S226:U226"/>
    <mergeCell ref="V226:W226"/>
    <mergeCell ref="X226:Y226"/>
    <mergeCell ref="V224:W224"/>
    <mergeCell ref="X224:Y224"/>
    <mergeCell ref="F228:H228"/>
    <mergeCell ref="I228:K228"/>
    <mergeCell ref="L228:M228"/>
    <mergeCell ref="N228:O228"/>
    <mergeCell ref="P228:R228"/>
    <mergeCell ref="S228:U228"/>
    <mergeCell ref="S219:U219"/>
    <mergeCell ref="V219:W219"/>
    <mergeCell ref="X219:Y219"/>
    <mergeCell ref="Z219:AA224"/>
    <mergeCell ref="F220:H220"/>
    <mergeCell ref="I220:K220"/>
    <mergeCell ref="L220:M220"/>
    <mergeCell ref="N220:O220"/>
    <mergeCell ref="P220:R220"/>
    <mergeCell ref="S220:U220"/>
    <mergeCell ref="S218:U218"/>
    <mergeCell ref="V218:W218"/>
    <mergeCell ref="X218:Y218"/>
    <mergeCell ref="Z218:AA218"/>
    <mergeCell ref="B219:D224"/>
    <mergeCell ref="F219:H219"/>
    <mergeCell ref="I219:K219"/>
    <mergeCell ref="L219:M219"/>
    <mergeCell ref="N219:O219"/>
    <mergeCell ref="P219:R219"/>
    <mergeCell ref="V222:W222"/>
    <mergeCell ref="X222:Y222"/>
    <mergeCell ref="F223:H223"/>
    <mergeCell ref="I223:K223"/>
    <mergeCell ref="L223:M223"/>
    <mergeCell ref="N223:O223"/>
    <mergeCell ref="P223:R223"/>
    <mergeCell ref="S223:U223"/>
    <mergeCell ref="V223:W223"/>
    <mergeCell ref="X223:Y223"/>
    <mergeCell ref="F222:H222"/>
    <mergeCell ref="I222:K222"/>
    <mergeCell ref="B212:AA212"/>
    <mergeCell ref="B213:AA213"/>
    <mergeCell ref="B214:AA214"/>
    <mergeCell ref="B218:D218"/>
    <mergeCell ref="F218:H218"/>
    <mergeCell ref="I218:K218"/>
    <mergeCell ref="L218:M218"/>
    <mergeCell ref="N218:O218"/>
    <mergeCell ref="P218:R218"/>
    <mergeCell ref="B207:F207"/>
    <mergeCell ref="G207:K207"/>
    <mergeCell ref="L207:O207"/>
    <mergeCell ref="B210:AA210"/>
    <mergeCell ref="B211:AA211"/>
    <mergeCell ref="B205:F205"/>
    <mergeCell ref="G205:K205"/>
    <mergeCell ref="L205:O205"/>
    <mergeCell ref="B206:F206"/>
    <mergeCell ref="G206:K206"/>
    <mergeCell ref="L206:O206"/>
    <mergeCell ref="B203:F203"/>
    <mergeCell ref="G203:K203"/>
    <mergeCell ref="B204:F204"/>
    <mergeCell ref="G204:K204"/>
    <mergeCell ref="B198:F198"/>
    <mergeCell ref="G198:K198"/>
    <mergeCell ref="R198:S198"/>
    <mergeCell ref="B199:F200"/>
    <mergeCell ref="G199:K200"/>
    <mergeCell ref="R199:S200"/>
    <mergeCell ref="Y190:AA190"/>
    <mergeCell ref="F191:H193"/>
    <mergeCell ref="I191:X191"/>
    <mergeCell ref="Y191:AA191"/>
    <mergeCell ref="I192:X192"/>
    <mergeCell ref="Y192:AA192"/>
    <mergeCell ref="I193:X193"/>
    <mergeCell ref="Y193:AA193"/>
    <mergeCell ref="B186:D193"/>
    <mergeCell ref="F186:X186"/>
    <mergeCell ref="Y186:AA186"/>
    <mergeCell ref="F187:X187"/>
    <mergeCell ref="Y187:AA187"/>
    <mergeCell ref="F188:X188"/>
    <mergeCell ref="Y188:AA188"/>
    <mergeCell ref="F189:X189"/>
    <mergeCell ref="Y189:AA189"/>
    <mergeCell ref="F190:X190"/>
    <mergeCell ref="Y171:AA171"/>
    <mergeCell ref="Y182:AA182"/>
    <mergeCell ref="F183:H185"/>
    <mergeCell ref="I183:X183"/>
    <mergeCell ref="Y183:AA183"/>
    <mergeCell ref="I184:X184"/>
    <mergeCell ref="Y184:AA184"/>
    <mergeCell ref="I185:X185"/>
    <mergeCell ref="Y185:AA185"/>
    <mergeCell ref="B178:D185"/>
    <mergeCell ref="F178:X178"/>
    <mergeCell ref="Y178:AA178"/>
    <mergeCell ref="F179:X179"/>
    <mergeCell ref="Y179:AA179"/>
    <mergeCell ref="F180:X180"/>
    <mergeCell ref="Y180:AA180"/>
    <mergeCell ref="F181:X181"/>
    <mergeCell ref="Y181:AA181"/>
    <mergeCell ref="F182:X182"/>
    <mergeCell ref="R164:T164"/>
    <mergeCell ref="Z161:AA164"/>
    <mergeCell ref="F162:H162"/>
    <mergeCell ref="I162:J162"/>
    <mergeCell ref="K162:M162"/>
    <mergeCell ref="P162:Q162"/>
    <mergeCell ref="R162:T162"/>
    <mergeCell ref="W162:Y163"/>
    <mergeCell ref="F163:H163"/>
    <mergeCell ref="I163:J163"/>
    <mergeCell ref="K163:M163"/>
    <mergeCell ref="F175:H177"/>
    <mergeCell ref="I175:X175"/>
    <mergeCell ref="Y175:AA175"/>
    <mergeCell ref="I176:X176"/>
    <mergeCell ref="Y176:AA176"/>
    <mergeCell ref="I177:X177"/>
    <mergeCell ref="Y177:AA177"/>
    <mergeCell ref="F172:X172"/>
    <mergeCell ref="Y172:AA172"/>
    <mergeCell ref="F173:X173"/>
    <mergeCell ref="Y173:AA173"/>
    <mergeCell ref="F174:X174"/>
    <mergeCell ref="Y174:AA174"/>
    <mergeCell ref="W164:Y164"/>
    <mergeCell ref="F165:V165"/>
    <mergeCell ref="W165:AA165"/>
    <mergeCell ref="C168:AA168"/>
    <mergeCell ref="B170:D177"/>
    <mergeCell ref="F170:X170"/>
    <mergeCell ref="Y170:AA170"/>
    <mergeCell ref="F171:X171"/>
    <mergeCell ref="B157:D160"/>
    <mergeCell ref="F157:H157"/>
    <mergeCell ref="I157:J157"/>
    <mergeCell ref="K157:M157"/>
    <mergeCell ref="N157:O160"/>
    <mergeCell ref="P157:Q157"/>
    <mergeCell ref="R157:T157"/>
    <mergeCell ref="U157:V160"/>
    <mergeCell ref="W157:Y157"/>
    <mergeCell ref="W160:Y160"/>
    <mergeCell ref="B161:D164"/>
    <mergeCell ref="F161:H161"/>
    <mergeCell ref="I161:J161"/>
    <mergeCell ref="K161:M161"/>
    <mergeCell ref="N161:O164"/>
    <mergeCell ref="P161:Q161"/>
    <mergeCell ref="R161:T161"/>
    <mergeCell ref="U161:V164"/>
    <mergeCell ref="W161:Y161"/>
    <mergeCell ref="P159:Q159"/>
    <mergeCell ref="R159:T159"/>
    <mergeCell ref="F160:H160"/>
    <mergeCell ref="I160:J160"/>
    <mergeCell ref="K160:M160"/>
    <mergeCell ref="P160:Q160"/>
    <mergeCell ref="R160:T160"/>
    <mergeCell ref="P163:Q163"/>
    <mergeCell ref="R163:T163"/>
    <mergeCell ref="F164:H164"/>
    <mergeCell ref="I164:J164"/>
    <mergeCell ref="K164:M164"/>
    <mergeCell ref="P164:Q164"/>
    <mergeCell ref="I156:J156"/>
    <mergeCell ref="K156:M156"/>
    <mergeCell ref="P156:Q156"/>
    <mergeCell ref="R156:T156"/>
    <mergeCell ref="R153:T153"/>
    <mergeCell ref="U153:V156"/>
    <mergeCell ref="W153:Y153"/>
    <mergeCell ref="Z153:AA156"/>
    <mergeCell ref="F154:H154"/>
    <mergeCell ref="I154:J154"/>
    <mergeCell ref="K154:M154"/>
    <mergeCell ref="P154:Q154"/>
    <mergeCell ref="R154:T154"/>
    <mergeCell ref="W154:Y155"/>
    <mergeCell ref="Z157:AA160"/>
    <mergeCell ref="F158:H158"/>
    <mergeCell ref="I158:J158"/>
    <mergeCell ref="K158:M158"/>
    <mergeCell ref="P158:Q158"/>
    <mergeCell ref="R158:T158"/>
    <mergeCell ref="W158:Y159"/>
    <mergeCell ref="F159:H159"/>
    <mergeCell ref="I159:J159"/>
    <mergeCell ref="K159:M159"/>
    <mergeCell ref="W156:Y156"/>
    <mergeCell ref="R152:T152"/>
    <mergeCell ref="U152:V152"/>
    <mergeCell ref="W152:Y152"/>
    <mergeCell ref="Z152:AA152"/>
    <mergeCell ref="B153:D156"/>
    <mergeCell ref="F153:H153"/>
    <mergeCell ref="I153:J153"/>
    <mergeCell ref="K153:M153"/>
    <mergeCell ref="N153:O156"/>
    <mergeCell ref="P153:Q153"/>
    <mergeCell ref="Z145:AA145"/>
    <mergeCell ref="C150:AA150"/>
    <mergeCell ref="I151:O151"/>
    <mergeCell ref="P151:V151"/>
    <mergeCell ref="B152:D152"/>
    <mergeCell ref="F152:H152"/>
    <mergeCell ref="I152:J152"/>
    <mergeCell ref="K152:M152"/>
    <mergeCell ref="N152:O152"/>
    <mergeCell ref="P152:Q152"/>
    <mergeCell ref="F145:H145"/>
    <mergeCell ref="I145:L145"/>
    <mergeCell ref="M145:P145"/>
    <mergeCell ref="Q145:T145"/>
    <mergeCell ref="U145:V145"/>
    <mergeCell ref="W145:Y145"/>
    <mergeCell ref="F155:H155"/>
    <mergeCell ref="I155:J155"/>
    <mergeCell ref="K155:M155"/>
    <mergeCell ref="P155:Q155"/>
    <mergeCell ref="R155:T155"/>
    <mergeCell ref="F156:H156"/>
    <mergeCell ref="I144:L144"/>
    <mergeCell ref="M144:P144"/>
    <mergeCell ref="Q144:T144"/>
    <mergeCell ref="U144:V144"/>
    <mergeCell ref="W144:Y144"/>
    <mergeCell ref="Z144:AA144"/>
    <mergeCell ref="Z142:AA142"/>
    <mergeCell ref="B143:D145"/>
    <mergeCell ref="F143:H143"/>
    <mergeCell ref="I143:L143"/>
    <mergeCell ref="M143:P143"/>
    <mergeCell ref="Q143:T143"/>
    <mergeCell ref="U143:V143"/>
    <mergeCell ref="W143:Y143"/>
    <mergeCell ref="Z143:AA143"/>
    <mergeCell ref="F144:H144"/>
    <mergeCell ref="F142:H142"/>
    <mergeCell ref="I142:L142"/>
    <mergeCell ref="M142:P142"/>
    <mergeCell ref="Q142:T142"/>
    <mergeCell ref="U142:V142"/>
    <mergeCell ref="W142:Y142"/>
    <mergeCell ref="I141:L141"/>
    <mergeCell ref="M141:P141"/>
    <mergeCell ref="Q141:T141"/>
    <mergeCell ref="U141:V141"/>
    <mergeCell ref="W141:Y141"/>
    <mergeCell ref="Z141:AA141"/>
    <mergeCell ref="Z139:AA139"/>
    <mergeCell ref="B140:D142"/>
    <mergeCell ref="F140:H140"/>
    <mergeCell ref="I140:L140"/>
    <mergeCell ref="M140:P140"/>
    <mergeCell ref="Q140:T140"/>
    <mergeCell ref="U140:V140"/>
    <mergeCell ref="W140:Y140"/>
    <mergeCell ref="Z140:AA140"/>
    <mergeCell ref="F141:H141"/>
    <mergeCell ref="F139:H139"/>
    <mergeCell ref="I139:L139"/>
    <mergeCell ref="M139:P139"/>
    <mergeCell ref="Q139:T139"/>
    <mergeCell ref="U139:V139"/>
    <mergeCell ref="W139:Y139"/>
    <mergeCell ref="W137:Y137"/>
    <mergeCell ref="Z137:AA137"/>
    <mergeCell ref="F138:H138"/>
    <mergeCell ref="I138:L138"/>
    <mergeCell ref="M138:P138"/>
    <mergeCell ref="Q138:T138"/>
    <mergeCell ref="U138:V138"/>
    <mergeCell ref="W138:Y138"/>
    <mergeCell ref="Z138:AA138"/>
    <mergeCell ref="I136:L136"/>
    <mergeCell ref="M136:P136"/>
    <mergeCell ref="Q136:T136"/>
    <mergeCell ref="U136:AA136"/>
    <mergeCell ref="B137:D139"/>
    <mergeCell ref="F137:H137"/>
    <mergeCell ref="I137:L137"/>
    <mergeCell ref="M137:P137"/>
    <mergeCell ref="Q137:T137"/>
    <mergeCell ref="U137:V137"/>
    <mergeCell ref="B134:D136"/>
    <mergeCell ref="F134:H134"/>
    <mergeCell ref="I134:L134"/>
    <mergeCell ref="M134:P134"/>
    <mergeCell ref="Q134:T134"/>
    <mergeCell ref="F135:H135"/>
    <mergeCell ref="I135:L135"/>
    <mergeCell ref="M135:P135"/>
    <mergeCell ref="Q135:T135"/>
    <mergeCell ref="F136:H136"/>
    <mergeCell ref="F129:T129"/>
    <mergeCell ref="U129:X129"/>
    <mergeCell ref="C132:AA132"/>
    <mergeCell ref="B133:D133"/>
    <mergeCell ref="F133:H133"/>
    <mergeCell ref="I133:L133"/>
    <mergeCell ref="M133:P133"/>
    <mergeCell ref="Q133:T133"/>
    <mergeCell ref="U127:X127"/>
    <mergeCell ref="F128:H128"/>
    <mergeCell ref="I128:L128"/>
    <mergeCell ref="M128:P128"/>
    <mergeCell ref="Q128:T128"/>
    <mergeCell ref="U128:X128"/>
    <mergeCell ref="B126:D128"/>
    <mergeCell ref="F126:H126"/>
    <mergeCell ref="I126:L126"/>
    <mergeCell ref="M126:P126"/>
    <mergeCell ref="Q126:T126"/>
    <mergeCell ref="U126:X126"/>
    <mergeCell ref="F127:H127"/>
    <mergeCell ref="I127:L127"/>
    <mergeCell ref="M127:P127"/>
    <mergeCell ref="Q127:T127"/>
    <mergeCell ref="B125:D125"/>
    <mergeCell ref="F125:H125"/>
    <mergeCell ref="I125:L125"/>
    <mergeCell ref="M125:P125"/>
    <mergeCell ref="Q125:T125"/>
    <mergeCell ref="U125:X125"/>
    <mergeCell ref="B116:AA116"/>
    <mergeCell ref="B117:AA117"/>
    <mergeCell ref="B118:AA118"/>
    <mergeCell ref="B119:AA119"/>
    <mergeCell ref="B120:AA120"/>
    <mergeCell ref="C124:AA124"/>
    <mergeCell ref="R112:T112"/>
    <mergeCell ref="U112:X112"/>
    <mergeCell ref="Y112:AA112"/>
    <mergeCell ref="F113:H113"/>
    <mergeCell ref="I113:K113"/>
    <mergeCell ref="L113:N113"/>
    <mergeCell ref="O113:Q113"/>
    <mergeCell ref="R113:T113"/>
    <mergeCell ref="U113:X113"/>
    <mergeCell ref="Y113:AA113"/>
    <mergeCell ref="U110:AA110"/>
    <mergeCell ref="F111:H111"/>
    <mergeCell ref="I111:K111"/>
    <mergeCell ref="L111:N111"/>
    <mergeCell ref="O111:Q111"/>
    <mergeCell ref="R111:T111"/>
    <mergeCell ref="U111:X111"/>
    <mergeCell ref="Y111:AA111"/>
    <mergeCell ref="B110:D113"/>
    <mergeCell ref="F110:H110"/>
    <mergeCell ref="I110:K110"/>
    <mergeCell ref="L110:N110"/>
    <mergeCell ref="O110:Q110"/>
    <mergeCell ref="R110:T110"/>
    <mergeCell ref="F112:H112"/>
    <mergeCell ref="I112:K112"/>
    <mergeCell ref="L112:N112"/>
    <mergeCell ref="O112:Q112"/>
    <mergeCell ref="U106:Y106"/>
    <mergeCell ref="B109:D109"/>
    <mergeCell ref="F109:H109"/>
    <mergeCell ref="I109:K109"/>
    <mergeCell ref="L109:N109"/>
    <mergeCell ref="O109:Q109"/>
    <mergeCell ref="R109:T109"/>
    <mergeCell ref="U104:Y104"/>
    <mergeCell ref="Z104:AA104"/>
    <mergeCell ref="B105:D106"/>
    <mergeCell ref="F105:H106"/>
    <mergeCell ref="I105:K106"/>
    <mergeCell ref="L105:N106"/>
    <mergeCell ref="O105:Q106"/>
    <mergeCell ref="R105:T106"/>
    <mergeCell ref="U105:Y105"/>
    <mergeCell ref="Z105:AA106"/>
    <mergeCell ref="B104:D104"/>
    <mergeCell ref="F104:H104"/>
    <mergeCell ref="I104:K104"/>
    <mergeCell ref="L104:N104"/>
    <mergeCell ref="O104:Q104"/>
    <mergeCell ref="R104:T104"/>
    <mergeCell ref="U98:X98"/>
    <mergeCell ref="Y98:AA98"/>
    <mergeCell ref="B99:D99"/>
    <mergeCell ref="F99:H99"/>
    <mergeCell ref="I99:K99"/>
    <mergeCell ref="L99:N99"/>
    <mergeCell ref="O99:Q99"/>
    <mergeCell ref="R99:T99"/>
    <mergeCell ref="U99:X99"/>
    <mergeCell ref="Y99:AA99"/>
    <mergeCell ref="B98:D98"/>
    <mergeCell ref="F98:H98"/>
    <mergeCell ref="I98:K98"/>
    <mergeCell ref="L98:N98"/>
    <mergeCell ref="O98:Q98"/>
    <mergeCell ref="R98:T98"/>
    <mergeCell ref="U96:AA96"/>
    <mergeCell ref="B97:D97"/>
    <mergeCell ref="F97:H97"/>
    <mergeCell ref="I97:K97"/>
    <mergeCell ref="L97:N97"/>
    <mergeCell ref="O97:Q97"/>
    <mergeCell ref="R97:T97"/>
    <mergeCell ref="U97:X97"/>
    <mergeCell ref="Y97:AA97"/>
    <mergeCell ref="B96:D96"/>
    <mergeCell ref="F96:H96"/>
    <mergeCell ref="I96:K96"/>
    <mergeCell ref="L96:N96"/>
    <mergeCell ref="O96:Q96"/>
    <mergeCell ref="R96:T96"/>
    <mergeCell ref="B90:D90"/>
    <mergeCell ref="F90:H90"/>
    <mergeCell ref="I90:K90"/>
    <mergeCell ref="L90:N90"/>
    <mergeCell ref="O90:Q90"/>
    <mergeCell ref="T82:U82"/>
    <mergeCell ref="V82:W82"/>
    <mergeCell ref="X82:Y82"/>
    <mergeCell ref="F83:G83"/>
    <mergeCell ref="H83:I83"/>
    <mergeCell ref="J83:K83"/>
    <mergeCell ref="L83:M83"/>
    <mergeCell ref="N83:O83"/>
    <mergeCell ref="Z91:AA92"/>
    <mergeCell ref="U92:Y92"/>
    <mergeCell ref="B95:D95"/>
    <mergeCell ref="F95:H95"/>
    <mergeCell ref="I95:K95"/>
    <mergeCell ref="L95:N95"/>
    <mergeCell ref="O95:Q95"/>
    <mergeCell ref="R95:T95"/>
    <mergeCell ref="R90:T90"/>
    <mergeCell ref="U90:Y90"/>
    <mergeCell ref="Z90:AA90"/>
    <mergeCell ref="B91:D92"/>
    <mergeCell ref="F91:H92"/>
    <mergeCell ref="I91:K92"/>
    <mergeCell ref="L91:N92"/>
    <mergeCell ref="O91:Q92"/>
    <mergeCell ref="R91:T92"/>
    <mergeCell ref="U91:Y91"/>
    <mergeCell ref="H82:I82"/>
    <mergeCell ref="J82:K82"/>
    <mergeCell ref="L82:M82"/>
    <mergeCell ref="N82:O82"/>
    <mergeCell ref="P82:S82"/>
    <mergeCell ref="N80:O80"/>
    <mergeCell ref="P80:S80"/>
    <mergeCell ref="T80:U80"/>
    <mergeCell ref="V80:W80"/>
    <mergeCell ref="X80:Y80"/>
    <mergeCell ref="F81:G81"/>
    <mergeCell ref="H81:I81"/>
    <mergeCell ref="J81:K81"/>
    <mergeCell ref="L81:M81"/>
    <mergeCell ref="N81:O81"/>
    <mergeCell ref="F84:G84"/>
    <mergeCell ref="H84:I84"/>
    <mergeCell ref="J84:K84"/>
    <mergeCell ref="L84:M84"/>
    <mergeCell ref="N84:O84"/>
    <mergeCell ref="P75:S75"/>
    <mergeCell ref="T75:U75"/>
    <mergeCell ref="V75:W75"/>
    <mergeCell ref="X75:Y75"/>
    <mergeCell ref="F76:G76"/>
    <mergeCell ref="H76:I76"/>
    <mergeCell ref="J76:K76"/>
    <mergeCell ref="L76:M76"/>
    <mergeCell ref="N76:O76"/>
    <mergeCell ref="F79:G79"/>
    <mergeCell ref="H79:I79"/>
    <mergeCell ref="J79:K79"/>
    <mergeCell ref="L79:M79"/>
    <mergeCell ref="N79:O79"/>
    <mergeCell ref="B80:D84"/>
    <mergeCell ref="F80:G80"/>
    <mergeCell ref="H80:I80"/>
    <mergeCell ref="J80:K80"/>
    <mergeCell ref="L80:M80"/>
    <mergeCell ref="T77:U77"/>
    <mergeCell ref="V77:W77"/>
    <mergeCell ref="X77:Y77"/>
    <mergeCell ref="F78:G78"/>
    <mergeCell ref="H78:I78"/>
    <mergeCell ref="J78:K78"/>
    <mergeCell ref="L78:M78"/>
    <mergeCell ref="N78:O78"/>
    <mergeCell ref="P81:S81"/>
    <mergeCell ref="T81:U81"/>
    <mergeCell ref="V81:W81"/>
    <mergeCell ref="X81:Y81"/>
    <mergeCell ref="F82:G82"/>
    <mergeCell ref="B75:D79"/>
    <mergeCell ref="F75:G75"/>
    <mergeCell ref="H75:I75"/>
    <mergeCell ref="J75:K75"/>
    <mergeCell ref="L75:M75"/>
    <mergeCell ref="X72:Y72"/>
    <mergeCell ref="F73:G73"/>
    <mergeCell ref="H73:I73"/>
    <mergeCell ref="J73:K73"/>
    <mergeCell ref="L73:M73"/>
    <mergeCell ref="N73:O73"/>
    <mergeCell ref="V71:W71"/>
    <mergeCell ref="X71:Y71"/>
    <mergeCell ref="F72:G72"/>
    <mergeCell ref="H72:I72"/>
    <mergeCell ref="J72:K72"/>
    <mergeCell ref="L72:M72"/>
    <mergeCell ref="N72:O72"/>
    <mergeCell ref="P72:S72"/>
    <mergeCell ref="T72:U72"/>
    <mergeCell ref="V72:W72"/>
    <mergeCell ref="P76:S76"/>
    <mergeCell ref="T76:U76"/>
    <mergeCell ref="V76:W76"/>
    <mergeCell ref="X76:Y76"/>
    <mergeCell ref="F77:G77"/>
    <mergeCell ref="H77:I77"/>
    <mergeCell ref="J77:K77"/>
    <mergeCell ref="L77:M77"/>
    <mergeCell ref="N77:O77"/>
    <mergeCell ref="P77:S77"/>
    <mergeCell ref="N75:O75"/>
    <mergeCell ref="T70:U70"/>
    <mergeCell ref="V70:W70"/>
    <mergeCell ref="X70:Y70"/>
    <mergeCell ref="F71:G71"/>
    <mergeCell ref="H71:I71"/>
    <mergeCell ref="J71:K71"/>
    <mergeCell ref="L71:M71"/>
    <mergeCell ref="N71:O71"/>
    <mergeCell ref="P71:S71"/>
    <mergeCell ref="T71:U71"/>
    <mergeCell ref="T69:U69"/>
    <mergeCell ref="V69:W69"/>
    <mergeCell ref="X69:Y69"/>
    <mergeCell ref="B70:D74"/>
    <mergeCell ref="F70:G70"/>
    <mergeCell ref="H70:I70"/>
    <mergeCell ref="J70:K70"/>
    <mergeCell ref="L70:M70"/>
    <mergeCell ref="N70:O70"/>
    <mergeCell ref="P70:S70"/>
    <mergeCell ref="B69:D69"/>
    <mergeCell ref="F69:G69"/>
    <mergeCell ref="H69:I69"/>
    <mergeCell ref="J69:K69"/>
    <mergeCell ref="L69:M69"/>
    <mergeCell ref="N69:O69"/>
    <mergeCell ref="F74:G74"/>
    <mergeCell ref="H74:I74"/>
    <mergeCell ref="J74:K74"/>
    <mergeCell ref="L74:M74"/>
    <mergeCell ref="N74:O74"/>
    <mergeCell ref="F64:W64"/>
    <mergeCell ref="X64:AA64"/>
    <mergeCell ref="B66:AA66"/>
    <mergeCell ref="C67:AA67"/>
    <mergeCell ref="H68:K68"/>
    <mergeCell ref="L68:O68"/>
    <mergeCell ref="P68:Y68"/>
    <mergeCell ref="F63:G63"/>
    <mergeCell ref="H63:I63"/>
    <mergeCell ref="J63:K63"/>
    <mergeCell ref="L63:M63"/>
    <mergeCell ref="R63:S63"/>
    <mergeCell ref="T63:U63"/>
    <mergeCell ref="P61:Q63"/>
    <mergeCell ref="R61:S61"/>
    <mergeCell ref="T61:U61"/>
    <mergeCell ref="V61:W61"/>
    <mergeCell ref="X61:Y63"/>
    <mergeCell ref="Z61:AA63"/>
    <mergeCell ref="R62:S62"/>
    <mergeCell ref="T62:U62"/>
    <mergeCell ref="V62:W62"/>
    <mergeCell ref="V63:W63"/>
    <mergeCell ref="B61:D63"/>
    <mergeCell ref="F61:G61"/>
    <mergeCell ref="H61:I61"/>
    <mergeCell ref="J61:K61"/>
    <mergeCell ref="L61:M61"/>
    <mergeCell ref="N61:O63"/>
    <mergeCell ref="F62:G62"/>
    <mergeCell ref="H62:I62"/>
    <mergeCell ref="J62:K62"/>
    <mergeCell ref="L62:M62"/>
    <mergeCell ref="F60:G60"/>
    <mergeCell ref="H60:I60"/>
    <mergeCell ref="J60:K60"/>
    <mergeCell ref="L60:M60"/>
    <mergeCell ref="R60:S60"/>
    <mergeCell ref="T60:U60"/>
    <mergeCell ref="P58:Q60"/>
    <mergeCell ref="R58:S58"/>
    <mergeCell ref="T58:U58"/>
    <mergeCell ref="V58:W58"/>
    <mergeCell ref="X58:Y60"/>
    <mergeCell ref="Z58:AA60"/>
    <mergeCell ref="R59:S59"/>
    <mergeCell ref="T59:U59"/>
    <mergeCell ref="V59:W59"/>
    <mergeCell ref="V60:W60"/>
    <mergeCell ref="B58:D60"/>
    <mergeCell ref="F58:G58"/>
    <mergeCell ref="H58:I58"/>
    <mergeCell ref="J58:K58"/>
    <mergeCell ref="L58:M58"/>
    <mergeCell ref="N58:O60"/>
    <mergeCell ref="F59:G59"/>
    <mergeCell ref="H59:I59"/>
    <mergeCell ref="J59:K59"/>
    <mergeCell ref="L59:M59"/>
    <mergeCell ref="F57:G57"/>
    <mergeCell ref="H57:I57"/>
    <mergeCell ref="J57:K57"/>
    <mergeCell ref="L57:M57"/>
    <mergeCell ref="R57:S57"/>
    <mergeCell ref="T57:U57"/>
    <mergeCell ref="P55:Q57"/>
    <mergeCell ref="R55:S55"/>
    <mergeCell ref="T55:U55"/>
    <mergeCell ref="V55:W55"/>
    <mergeCell ref="X55:Y57"/>
    <mergeCell ref="Z55:AA57"/>
    <mergeCell ref="R56:S56"/>
    <mergeCell ref="T56:U56"/>
    <mergeCell ref="V56:W56"/>
    <mergeCell ref="V57:W57"/>
    <mergeCell ref="B55:D57"/>
    <mergeCell ref="F55:G55"/>
    <mergeCell ref="H55:I55"/>
    <mergeCell ref="J55:K55"/>
    <mergeCell ref="L55:M55"/>
    <mergeCell ref="N55:O57"/>
    <mergeCell ref="F56:G56"/>
    <mergeCell ref="H56:I56"/>
    <mergeCell ref="J56:K56"/>
    <mergeCell ref="L56:M56"/>
    <mergeCell ref="N54:O54"/>
    <mergeCell ref="P54:Q54"/>
    <mergeCell ref="R54:S54"/>
    <mergeCell ref="T54:U54"/>
    <mergeCell ref="V54:W54"/>
    <mergeCell ref="X54:Y54"/>
    <mergeCell ref="B48:AA48"/>
    <mergeCell ref="B49:AA49"/>
    <mergeCell ref="H53:Q53"/>
    <mergeCell ref="R53:Y53"/>
    <mergeCell ref="Z53:AA54"/>
    <mergeCell ref="B54:D54"/>
    <mergeCell ref="F54:G54"/>
    <mergeCell ref="H54:I54"/>
    <mergeCell ref="J54:K54"/>
    <mergeCell ref="L54:M54"/>
    <mergeCell ref="B6:AA6"/>
    <mergeCell ref="B45:AA45"/>
    <mergeCell ref="B46:AA46"/>
    <mergeCell ref="B47:AA47"/>
    <mergeCell ref="I30:M30"/>
    <mergeCell ref="J31:M31"/>
    <mergeCell ref="J32:M32"/>
    <mergeCell ref="J33:M33"/>
    <mergeCell ref="Z36:AA36"/>
    <mergeCell ref="C37:H37"/>
    <mergeCell ref="V37:W37"/>
    <mergeCell ref="X37:Y37"/>
    <mergeCell ref="Z37:AA37"/>
    <mergeCell ref="R37:U37"/>
    <mergeCell ref="N34:Q34"/>
    <mergeCell ref="N35:Q35"/>
    <mergeCell ref="G28:H28"/>
    <mergeCell ref="I28:M28"/>
    <mergeCell ref="N28:O28"/>
    <mergeCell ref="P28:T28"/>
    <mergeCell ref="U28:V28"/>
    <mergeCell ref="W28:AA28"/>
    <mergeCell ref="P27:T27"/>
    <mergeCell ref="C36:H36"/>
    <mergeCell ref="V36:W36"/>
    <mergeCell ref="X36:Y36"/>
    <mergeCell ref="Z34:AA34"/>
    <mergeCell ref="B35:B37"/>
    <mergeCell ref="C35:H35"/>
    <mergeCell ref="I35:I37"/>
    <mergeCell ref="V35:W35"/>
    <mergeCell ref="X35:Y35"/>
    <mergeCell ref="Z35:AA35"/>
    <mergeCell ref="C34:H34"/>
    <mergeCell ref="V34:W34"/>
    <mergeCell ref="X34:Y34"/>
    <mergeCell ref="J34:M34"/>
    <mergeCell ref="Z32:AA32"/>
    <mergeCell ref="C33:H33"/>
    <mergeCell ref="V33:W33"/>
    <mergeCell ref="X33:Y33"/>
    <mergeCell ref="Z33:AA33"/>
    <mergeCell ref="J35:M35"/>
    <mergeCell ref="J36:M36"/>
    <mergeCell ref="J37:M37"/>
    <mergeCell ref="N31:Q31"/>
    <mergeCell ref="N32:Q32"/>
    <mergeCell ref="N33:Q33"/>
    <mergeCell ref="P41:AA41"/>
    <mergeCell ref="B23:F23"/>
    <mergeCell ref="G23:Q23"/>
    <mergeCell ref="R23:T24"/>
    <mergeCell ref="U23:V23"/>
    <mergeCell ref="W23:AA23"/>
    <mergeCell ref="U20:V21"/>
    <mergeCell ref="W20:AA21"/>
    <mergeCell ref="U40:V40"/>
    <mergeCell ref="W40:AA40"/>
    <mergeCell ref="G27:H27"/>
    <mergeCell ref="I27:M27"/>
    <mergeCell ref="N27:O27"/>
    <mergeCell ref="V31:W31"/>
    <mergeCell ref="X31:Y31"/>
    <mergeCell ref="Z31:AA31"/>
    <mergeCell ref="B32:B34"/>
    <mergeCell ref="C32:H32"/>
    <mergeCell ref="V32:W32"/>
    <mergeCell ref="X32:Y32"/>
    <mergeCell ref="B30:H30"/>
    <mergeCell ref="B31:H31"/>
    <mergeCell ref="B25:F26"/>
    <mergeCell ref="I25:J25"/>
    <mergeCell ref="K25:K26"/>
    <mergeCell ref="L25:M26"/>
    <mergeCell ref="N25:Q25"/>
    <mergeCell ref="R25:AA25"/>
    <mergeCell ref="I26:J26"/>
    <mergeCell ref="N26:Q26"/>
    <mergeCell ref="R26:AA26"/>
    <mergeCell ref="B28:F28"/>
    <mergeCell ref="M349:N349"/>
    <mergeCell ref="M350:N350"/>
    <mergeCell ref="M351:N351"/>
    <mergeCell ref="M352:N352"/>
    <mergeCell ref="M353:N353"/>
    <mergeCell ref="M354:N354"/>
    <mergeCell ref="M355:N355"/>
    <mergeCell ref="M356:N356"/>
    <mergeCell ref="M357:N357"/>
    <mergeCell ref="M358:N358"/>
    <mergeCell ref="M359:N359"/>
    <mergeCell ref="M360:N360"/>
    <mergeCell ref="M361:N361"/>
    <mergeCell ref="M362:N362"/>
    <mergeCell ref="M363:N363"/>
    <mergeCell ref="B2:AA2"/>
    <mergeCell ref="B40:F40"/>
    <mergeCell ref="G40:H40"/>
    <mergeCell ref="I40:M40"/>
    <mergeCell ref="N40:O40"/>
    <mergeCell ref="P40:T40"/>
    <mergeCell ref="B24:F24"/>
    <mergeCell ref="G24:Q24"/>
    <mergeCell ref="U24:V24"/>
    <mergeCell ref="W24:AA24"/>
    <mergeCell ref="B27:F27"/>
    <mergeCell ref="X27:Y27"/>
    <mergeCell ref="Z27:AA27"/>
    <mergeCell ref="B41:F41"/>
    <mergeCell ref="G41:H41"/>
    <mergeCell ref="I41:M41"/>
    <mergeCell ref="N41:O41"/>
    <mergeCell ref="K347:L347"/>
    <mergeCell ref="K348:L349"/>
    <mergeCell ref="S347:T347"/>
    <mergeCell ref="S348:T349"/>
    <mergeCell ref="K351:L351"/>
    <mergeCell ref="K355:L355"/>
    <mergeCell ref="K359:L359"/>
    <mergeCell ref="M366:N366"/>
    <mergeCell ref="U347:V347"/>
    <mergeCell ref="U348:V348"/>
    <mergeCell ref="U349:V349"/>
    <mergeCell ref="U350:V350"/>
    <mergeCell ref="U351:V351"/>
    <mergeCell ref="U352:V352"/>
    <mergeCell ref="U353:V353"/>
    <mergeCell ref="U354:V354"/>
    <mergeCell ref="U355:V355"/>
    <mergeCell ref="U356:V356"/>
    <mergeCell ref="U357:V357"/>
    <mergeCell ref="U358:V358"/>
    <mergeCell ref="U359:V359"/>
    <mergeCell ref="U360:V360"/>
    <mergeCell ref="U361:V361"/>
    <mergeCell ref="U362:V362"/>
    <mergeCell ref="U363:V363"/>
    <mergeCell ref="U364:V364"/>
    <mergeCell ref="U365:V365"/>
    <mergeCell ref="U366:V366"/>
    <mergeCell ref="M347:N347"/>
    <mergeCell ref="M348:N348"/>
    <mergeCell ref="K363:L363"/>
    <mergeCell ref="K352:L353"/>
    <mergeCell ref="K364:L365"/>
    <mergeCell ref="S351:T351"/>
    <mergeCell ref="S352:T353"/>
    <mergeCell ref="S355:T355"/>
    <mergeCell ref="S356:T357"/>
    <mergeCell ref="S359:T359"/>
    <mergeCell ref="S360:T361"/>
    <mergeCell ref="S363:T363"/>
    <mergeCell ref="S364:T365"/>
    <mergeCell ref="B370:D392"/>
    <mergeCell ref="F370:H370"/>
    <mergeCell ref="I370:J370"/>
    <mergeCell ref="K370:L370"/>
    <mergeCell ref="M370:N370"/>
    <mergeCell ref="O370:P373"/>
    <mergeCell ref="Q370:R370"/>
    <mergeCell ref="S370:T370"/>
    <mergeCell ref="F374:H374"/>
    <mergeCell ref="I374:J374"/>
    <mergeCell ref="K374:L374"/>
    <mergeCell ref="M374:N374"/>
    <mergeCell ref="O374:P377"/>
    <mergeCell ref="Q374:R374"/>
    <mergeCell ref="S374:T374"/>
    <mergeCell ref="F378:H378"/>
    <mergeCell ref="I378:J378"/>
    <mergeCell ref="K378:L378"/>
    <mergeCell ref="I354:J354"/>
    <mergeCell ref="M378:N378"/>
    <mergeCell ref="O378:P381"/>
    <mergeCell ref="Q378:R378"/>
    <mergeCell ref="S378:T378"/>
    <mergeCell ref="U370:V370"/>
    <mergeCell ref="W370:X373"/>
    <mergeCell ref="Y370:AA370"/>
    <mergeCell ref="F371:H371"/>
    <mergeCell ref="I371:J371"/>
    <mergeCell ref="K371:L372"/>
    <mergeCell ref="M371:N371"/>
    <mergeCell ref="Q371:R371"/>
    <mergeCell ref="S371:T372"/>
    <mergeCell ref="U371:V371"/>
    <mergeCell ref="Y371:AA372"/>
    <mergeCell ref="F372:H372"/>
    <mergeCell ref="I372:J372"/>
    <mergeCell ref="M372:N372"/>
    <mergeCell ref="Q372:R372"/>
    <mergeCell ref="U372:V372"/>
    <mergeCell ref="F373:H373"/>
    <mergeCell ref="I373:J373"/>
    <mergeCell ref="M373:N373"/>
    <mergeCell ref="Q373:R373"/>
    <mergeCell ref="U373:V373"/>
    <mergeCell ref="Y373:AA373"/>
    <mergeCell ref="U374:V374"/>
    <mergeCell ref="W374:X377"/>
    <mergeCell ref="Y374:AA374"/>
    <mergeCell ref="F375:H375"/>
    <mergeCell ref="I375:J375"/>
    <mergeCell ref="K375:L376"/>
    <mergeCell ref="M375:N375"/>
    <mergeCell ref="Q375:R375"/>
    <mergeCell ref="S375:T376"/>
    <mergeCell ref="U375:V375"/>
    <mergeCell ref="Y375:AA376"/>
    <mergeCell ref="F376:H376"/>
    <mergeCell ref="I376:J376"/>
    <mergeCell ref="M376:N376"/>
    <mergeCell ref="Q376:R376"/>
    <mergeCell ref="U376:V376"/>
    <mergeCell ref="F377:H377"/>
    <mergeCell ref="I377:J377"/>
    <mergeCell ref="M377:N377"/>
    <mergeCell ref="Q377:R377"/>
    <mergeCell ref="U377:V377"/>
    <mergeCell ref="Y377:AA377"/>
    <mergeCell ref="U378:V378"/>
    <mergeCell ref="W378:X381"/>
    <mergeCell ref="Y378:AA378"/>
    <mergeCell ref="F379:H379"/>
    <mergeCell ref="I379:J379"/>
    <mergeCell ref="K379:L380"/>
    <mergeCell ref="M379:N379"/>
    <mergeCell ref="Q379:R379"/>
    <mergeCell ref="S379:T380"/>
    <mergeCell ref="U379:V379"/>
    <mergeCell ref="Y379:AA380"/>
    <mergeCell ref="F380:H380"/>
    <mergeCell ref="I380:J380"/>
    <mergeCell ref="M380:N380"/>
    <mergeCell ref="Q380:R380"/>
    <mergeCell ref="U380:V380"/>
    <mergeCell ref="F381:H381"/>
    <mergeCell ref="I381:J381"/>
    <mergeCell ref="M381:N381"/>
    <mergeCell ref="Q381:R381"/>
    <mergeCell ref="U381:V381"/>
    <mergeCell ref="Y381:AA381"/>
    <mergeCell ref="U389:V389"/>
    <mergeCell ref="Y389:AA389"/>
    <mergeCell ref="F382:H382"/>
    <mergeCell ref="I382:J382"/>
    <mergeCell ref="K382:L382"/>
    <mergeCell ref="M382:N382"/>
    <mergeCell ref="O382:P385"/>
    <mergeCell ref="Q382:R382"/>
    <mergeCell ref="S382:T382"/>
    <mergeCell ref="U382:V382"/>
    <mergeCell ref="W382:X385"/>
    <mergeCell ref="Y382:AA382"/>
    <mergeCell ref="F383:H383"/>
    <mergeCell ref="I383:J383"/>
    <mergeCell ref="K383:L384"/>
    <mergeCell ref="M383:N383"/>
    <mergeCell ref="Q383:R383"/>
    <mergeCell ref="S383:T384"/>
    <mergeCell ref="U383:V383"/>
    <mergeCell ref="Y383:AA384"/>
    <mergeCell ref="F384:H384"/>
    <mergeCell ref="I384:J384"/>
    <mergeCell ref="M384:N384"/>
    <mergeCell ref="Q384:R384"/>
    <mergeCell ref="U384:V384"/>
    <mergeCell ref="F385:H385"/>
    <mergeCell ref="I385:J385"/>
    <mergeCell ref="M385:N385"/>
    <mergeCell ref="Q385:R385"/>
    <mergeCell ref="U385:V385"/>
    <mergeCell ref="Y385:AA385"/>
    <mergeCell ref="K399:L400"/>
    <mergeCell ref="M399:N399"/>
    <mergeCell ref="Q399:R399"/>
    <mergeCell ref="S399:T400"/>
    <mergeCell ref="U399:V399"/>
    <mergeCell ref="F386:H386"/>
    <mergeCell ref="I386:J386"/>
    <mergeCell ref="K386:L386"/>
    <mergeCell ref="M386:N386"/>
    <mergeCell ref="O386:P389"/>
    <mergeCell ref="Q386:R386"/>
    <mergeCell ref="S386:T386"/>
    <mergeCell ref="U386:V386"/>
    <mergeCell ref="W386:X389"/>
    <mergeCell ref="Y386:AA386"/>
    <mergeCell ref="F387:H387"/>
    <mergeCell ref="I387:J387"/>
    <mergeCell ref="K387:L388"/>
    <mergeCell ref="M387:N387"/>
    <mergeCell ref="Q387:R387"/>
    <mergeCell ref="S387:T388"/>
    <mergeCell ref="U387:V387"/>
    <mergeCell ref="Y387:AA388"/>
    <mergeCell ref="F388:H388"/>
    <mergeCell ref="I388:J388"/>
    <mergeCell ref="M388:N388"/>
    <mergeCell ref="Q388:R388"/>
    <mergeCell ref="U388:V388"/>
    <mergeCell ref="F389:H389"/>
    <mergeCell ref="I389:J389"/>
    <mergeCell ref="M389:N389"/>
    <mergeCell ref="Q389:R389"/>
    <mergeCell ref="S403:T404"/>
    <mergeCell ref="U403:V403"/>
    <mergeCell ref="Y403:AA404"/>
    <mergeCell ref="F404:H404"/>
    <mergeCell ref="I404:J404"/>
    <mergeCell ref="Y390:AA390"/>
    <mergeCell ref="Y391:AA391"/>
    <mergeCell ref="Y392:AA392"/>
    <mergeCell ref="I396:P396"/>
    <mergeCell ref="Q396:X396"/>
    <mergeCell ref="B397:D397"/>
    <mergeCell ref="F397:H397"/>
    <mergeCell ref="I397:J397"/>
    <mergeCell ref="K397:N397"/>
    <mergeCell ref="O397:P397"/>
    <mergeCell ref="Q397:R397"/>
    <mergeCell ref="S397:V397"/>
    <mergeCell ref="W397:X397"/>
    <mergeCell ref="Y397:AA397"/>
    <mergeCell ref="B398:D420"/>
    <mergeCell ref="F398:H398"/>
    <mergeCell ref="I398:J398"/>
    <mergeCell ref="K398:L398"/>
    <mergeCell ref="M398:N398"/>
    <mergeCell ref="O398:P401"/>
    <mergeCell ref="Q398:R398"/>
    <mergeCell ref="S398:T398"/>
    <mergeCell ref="U398:V398"/>
    <mergeCell ref="W398:X401"/>
    <mergeCell ref="Y398:AA398"/>
    <mergeCell ref="F399:H399"/>
    <mergeCell ref="I399:J399"/>
    <mergeCell ref="F408:H408"/>
    <mergeCell ref="I408:J408"/>
    <mergeCell ref="M408:N408"/>
    <mergeCell ref="Q408:R408"/>
    <mergeCell ref="U408:V408"/>
    <mergeCell ref="Y399:AA400"/>
    <mergeCell ref="F400:H400"/>
    <mergeCell ref="I400:J400"/>
    <mergeCell ref="M400:N400"/>
    <mergeCell ref="Q400:R400"/>
    <mergeCell ref="U400:V400"/>
    <mergeCell ref="F401:H401"/>
    <mergeCell ref="I401:J401"/>
    <mergeCell ref="M401:N401"/>
    <mergeCell ref="Q401:R401"/>
    <mergeCell ref="U401:V401"/>
    <mergeCell ref="Y401:AA401"/>
    <mergeCell ref="F402:H402"/>
    <mergeCell ref="I402:J402"/>
    <mergeCell ref="K402:L402"/>
    <mergeCell ref="M402:N402"/>
    <mergeCell ref="O402:P405"/>
    <mergeCell ref="Q402:R402"/>
    <mergeCell ref="S402:T402"/>
    <mergeCell ref="U402:V402"/>
    <mergeCell ref="W402:X405"/>
    <mergeCell ref="Y402:AA402"/>
    <mergeCell ref="F403:H403"/>
    <mergeCell ref="I403:J403"/>
    <mergeCell ref="K403:L404"/>
    <mergeCell ref="M403:N403"/>
    <mergeCell ref="Q403:R403"/>
    <mergeCell ref="Q412:R412"/>
    <mergeCell ref="U412:V412"/>
    <mergeCell ref="F413:H413"/>
    <mergeCell ref="I413:J413"/>
    <mergeCell ref="M413:N413"/>
    <mergeCell ref="M404:N404"/>
    <mergeCell ref="Q404:R404"/>
    <mergeCell ref="U404:V404"/>
    <mergeCell ref="F405:H405"/>
    <mergeCell ref="I405:J405"/>
    <mergeCell ref="M405:N405"/>
    <mergeCell ref="Q405:R405"/>
    <mergeCell ref="U405:V405"/>
    <mergeCell ref="Y405:AA405"/>
    <mergeCell ref="F406:H406"/>
    <mergeCell ref="I406:J406"/>
    <mergeCell ref="K406:L406"/>
    <mergeCell ref="M406:N406"/>
    <mergeCell ref="O406:P409"/>
    <mergeCell ref="Q406:R406"/>
    <mergeCell ref="S406:T406"/>
    <mergeCell ref="U406:V406"/>
    <mergeCell ref="W406:X409"/>
    <mergeCell ref="Y406:AA406"/>
    <mergeCell ref="F407:H407"/>
    <mergeCell ref="I407:J407"/>
    <mergeCell ref="K407:L408"/>
    <mergeCell ref="M407:N407"/>
    <mergeCell ref="Q407:R407"/>
    <mergeCell ref="S407:T408"/>
    <mergeCell ref="U407:V407"/>
    <mergeCell ref="Y407:AA408"/>
    <mergeCell ref="I417:J417"/>
    <mergeCell ref="M417:N417"/>
    <mergeCell ref="Q417:R417"/>
    <mergeCell ref="U417:V417"/>
    <mergeCell ref="Y417:AA417"/>
    <mergeCell ref="F409:H409"/>
    <mergeCell ref="I409:J409"/>
    <mergeCell ref="M409:N409"/>
    <mergeCell ref="Q409:R409"/>
    <mergeCell ref="U409:V409"/>
    <mergeCell ref="Y409:AA409"/>
    <mergeCell ref="F410:H410"/>
    <mergeCell ref="I410:J410"/>
    <mergeCell ref="K410:L410"/>
    <mergeCell ref="M410:N410"/>
    <mergeCell ref="O410:P413"/>
    <mergeCell ref="Q410:R410"/>
    <mergeCell ref="S410:T410"/>
    <mergeCell ref="U410:V410"/>
    <mergeCell ref="W410:X413"/>
    <mergeCell ref="Y410:AA410"/>
    <mergeCell ref="F411:H411"/>
    <mergeCell ref="I411:J411"/>
    <mergeCell ref="K411:L412"/>
    <mergeCell ref="M411:N411"/>
    <mergeCell ref="Q411:R411"/>
    <mergeCell ref="S411:T412"/>
    <mergeCell ref="U411:V411"/>
    <mergeCell ref="Y411:AA412"/>
    <mergeCell ref="F412:H412"/>
    <mergeCell ref="I412:J412"/>
    <mergeCell ref="M412:N412"/>
    <mergeCell ref="B4:AA4"/>
    <mergeCell ref="B38:AA38"/>
    <mergeCell ref="Y418:AA418"/>
    <mergeCell ref="Y419:AA419"/>
    <mergeCell ref="Y420:AA420"/>
    <mergeCell ref="Q413:R413"/>
    <mergeCell ref="U413:V413"/>
    <mergeCell ref="Y413:AA413"/>
    <mergeCell ref="F414:H414"/>
    <mergeCell ref="I414:J414"/>
    <mergeCell ref="K414:L414"/>
    <mergeCell ref="M414:N414"/>
    <mergeCell ref="O414:P417"/>
    <mergeCell ref="Q414:R414"/>
    <mergeCell ref="S414:T414"/>
    <mergeCell ref="U414:V414"/>
    <mergeCell ref="W414:X417"/>
    <mergeCell ref="Y414:AA414"/>
    <mergeCell ref="F415:H415"/>
    <mergeCell ref="I415:J415"/>
    <mergeCell ref="K415:L416"/>
    <mergeCell ref="M415:N415"/>
    <mergeCell ref="Q415:R415"/>
    <mergeCell ref="S415:T416"/>
    <mergeCell ref="U415:V415"/>
    <mergeCell ref="Y415:AA416"/>
    <mergeCell ref="F416:H416"/>
    <mergeCell ref="I416:J416"/>
    <mergeCell ref="M416:N416"/>
    <mergeCell ref="Q416:R416"/>
    <mergeCell ref="U416:V416"/>
    <mergeCell ref="F417:H417"/>
  </mergeCells>
  <phoneticPr fontId="2"/>
  <dataValidations count="11">
    <dataValidation type="whole" operator="lessThanOrEqual" allowBlank="1" showInputMessage="1" showErrorMessage="1" error="採用者数以下の人数となります。" sqref="K161:M163 R153:T155 R161:T163 R157:T159 K153:M155 K157:M159" xr:uid="{1E97CCFC-0269-4CBB-AF3F-442E94C2C55E}">
      <formula1>I153</formula1>
    </dataValidation>
    <dataValidation type="whole" operator="lessThanOrEqual" allowBlank="1" showInputMessage="1" showErrorMessage="1" error="応募者数以下の人数となります。" sqref="J55:K63 T55:U63 J70:K84 N70:O84" xr:uid="{D29A5C9E-6A56-4A96-9623-A17746988806}">
      <formula1>H55</formula1>
    </dataValidation>
    <dataValidation imeMode="halfAlpha" allowBlank="1" showInputMessage="1" showErrorMessage="1" prompt="半角数字で、ハイフンを入れて記載してください。" sqref="I41:M41" xr:uid="{EA3D979A-DEF5-4DF1-A4FC-A6A6A2069A78}"/>
    <dataValidation type="list" allowBlank="1" showInputMessage="1" showErrorMessage="1" sqref="Z308:AA310 W165:AA165 Z91:AA92 Z105:AA106 X237 X294:Y295 R199:S200 X64 X264 U129:X129 Z332:AA335 AA339:AA340" xr:uid="{1806FEA2-5348-424C-882B-85A528756A0F}">
      <formula1>"該当,非該当"</formula1>
    </dataValidation>
    <dataValidation type="list" allowBlank="1" showInputMessage="1" showErrorMessage="1" sqref="I30" xr:uid="{367853A4-AE56-4333-87A3-83D6D9AA9869}">
      <formula1>"設定あり,設定なし"</formula1>
    </dataValidation>
    <dataValidation type="list" allowBlank="1" showInputMessage="1" showErrorMessage="1" sqref="I32:I34" xr:uid="{18AF6E8D-9483-4375-A783-4A0C051B3B68}">
      <formula1>"○"</formula1>
    </dataValidation>
    <dataValidation type="list" allowBlank="1" showInputMessage="1" showErrorMessage="1" sqref="R32:R37" xr:uid="{75339BCA-CC62-44CD-8712-399588880EAD}">
      <formula1>"対象労働者,対象外労働者"</formula1>
    </dataValidation>
    <dataValidation type="list" allowBlank="1" showInputMessage="1" showErrorMessage="1" sqref="J32:J37" xr:uid="{D2DF7428-A0E2-489E-BFD5-87285EC12C11}">
      <formula1>"定めなし(無期),定めあり(有期)"</formula1>
    </dataValidation>
    <dataValidation type="list" allowBlank="1" showInputMessage="1" showErrorMessage="1" sqref="N32:N37" xr:uid="{0EE46916-0CA0-4A0B-AE2C-936E9EAA0201}">
      <formula1>"常勤ﾌﾙﾀｲﾑ,常勤短時間,非常勤,ﾊﾟｰﾄﾀｲﾑ,裁量労働制"</formula1>
    </dataValidation>
    <dataValidation type="whole" operator="lessThanOrEqual" allowBlank="1" showInputMessage="1" showErrorMessage="1" error="採用者数以下の人数となります。" sqref="M355:M357 M359:M361 M363:M365 M351:M353 U359:U361 U363:U365 U351:U353 U355:U357 M378:M380 M382:M384 M386:M388 M374:M376 U382:U384 U386:U388 U374:U376 U378:U380 M406:M408 M410:M412 M414:M416 M402:M404 U410:U412 U414:U416 U402:U404 U406:U408" xr:uid="{63D64DF8-7BE6-44CF-A0A3-053CF6C93221}">
      <formula1>I351</formula1>
    </dataValidation>
    <dataValidation type="list" allowBlank="1" showInputMessage="1" showErrorMessage="1" sqref="R25:AA25" xr:uid="{26A161E8-5F8A-48D6-A367-DF77C48C6012}">
      <formula1>$G$22:$W$22</formula1>
    </dataValidation>
  </dataValidations>
  <printOptions horizontalCentered="1"/>
  <pageMargins left="0.70866141732283472" right="0.70866141732283472" top="0.74803149606299213" bottom="0.35433070866141736" header="0.31496062992125984" footer="0.11811023622047245"/>
  <pageSetup paperSize="9" scale="92" fitToHeight="0" orientation="portrait" r:id="rId1"/>
  <headerFooter scaleWithDoc="0">
    <oddFooter>&amp;C&amp;P/&amp;N</oddFooter>
  </headerFooter>
  <rowBreaks count="11" manualBreakCount="11">
    <brk id="42" max="16383" man="1"/>
    <brk id="85" max="27" man="1"/>
    <brk id="114" max="27" man="1"/>
    <brk id="146" max="27" man="1"/>
    <brk id="194" max="27" man="1"/>
    <brk id="208" max="27" man="1"/>
    <brk id="240" max="27" man="1"/>
    <brk id="285" max="27" man="1"/>
    <brk id="321" max="27" man="1"/>
    <brk id="341" max="16383" man="1"/>
    <brk id="393" max="2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5CB15-F1CB-40DA-B1BF-12169C3CED4F}">
  <sheetPr>
    <outlinePr summaryRight="0"/>
  </sheetPr>
  <dimension ref="A1:AB545"/>
  <sheetViews>
    <sheetView view="pageBreakPreview" zoomScale="110" zoomScaleNormal="110" zoomScaleSheetLayoutView="110" workbookViewId="0">
      <selection activeCell="AD13" sqref="AD13"/>
    </sheetView>
  </sheetViews>
  <sheetFormatPr defaultRowHeight="13.5" x14ac:dyDescent="0.15"/>
  <cols>
    <col min="1" max="1" width="1" style="171" customWidth="1"/>
    <col min="2" max="4" width="3.625" style="171" customWidth="1"/>
    <col min="5" max="5" width="3.625" style="171" hidden="1" customWidth="1"/>
    <col min="6" max="27" width="3.625" style="171" customWidth="1"/>
    <col min="28" max="28" width="1" style="171" customWidth="1"/>
    <col min="29" max="16384" width="9" style="171"/>
  </cols>
  <sheetData>
    <row r="1" spans="1:28" x14ac:dyDescent="0.15">
      <c r="B1" s="172" t="s">
        <v>73</v>
      </c>
    </row>
    <row r="2" spans="1:28" ht="30.75" customHeight="1" x14ac:dyDescent="0.15">
      <c r="B2" s="1438" t="s">
        <v>152</v>
      </c>
      <c r="C2" s="1438"/>
      <c r="D2" s="1438"/>
      <c r="E2" s="1438"/>
      <c r="F2" s="1438"/>
      <c r="G2" s="1438"/>
      <c r="H2" s="1438"/>
      <c r="I2" s="1438"/>
      <c r="J2" s="1438"/>
      <c r="K2" s="1438"/>
      <c r="L2" s="1438"/>
      <c r="M2" s="1438"/>
      <c r="N2" s="1438"/>
      <c r="O2" s="1438"/>
      <c r="P2" s="1438"/>
      <c r="Q2" s="1438"/>
      <c r="R2" s="1438"/>
      <c r="S2" s="1438"/>
      <c r="T2" s="1438"/>
      <c r="U2" s="1438"/>
      <c r="V2" s="1438"/>
      <c r="W2" s="1438"/>
      <c r="X2" s="1438"/>
      <c r="Y2" s="1438"/>
      <c r="Z2" s="1438"/>
      <c r="AA2" s="1438"/>
    </row>
    <row r="3" spans="1:28" ht="17.25" customHeight="1" x14ac:dyDescent="0.15">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row>
    <row r="4" spans="1:28" s="176" customFormat="1" ht="30.75" customHeight="1" x14ac:dyDescent="0.15">
      <c r="A4" s="174"/>
      <c r="B4" s="1439" t="s">
        <v>239</v>
      </c>
      <c r="C4" s="1439"/>
      <c r="D4" s="1439"/>
      <c r="E4" s="1439"/>
      <c r="F4" s="1439"/>
      <c r="G4" s="1439"/>
      <c r="H4" s="1439"/>
      <c r="I4" s="1439"/>
      <c r="J4" s="1439"/>
      <c r="K4" s="1439"/>
      <c r="L4" s="1439"/>
      <c r="M4" s="1439"/>
      <c r="N4" s="1439"/>
      <c r="O4" s="1439"/>
      <c r="P4" s="1439"/>
      <c r="Q4" s="1439"/>
      <c r="R4" s="1439"/>
      <c r="S4" s="1439"/>
      <c r="T4" s="1439"/>
      <c r="U4" s="1439"/>
      <c r="V4" s="1439"/>
      <c r="W4" s="1439"/>
      <c r="X4" s="1439"/>
      <c r="Y4" s="1439"/>
      <c r="Z4" s="1439"/>
      <c r="AA4" s="1439"/>
      <c r="AB4" s="175"/>
    </row>
    <row r="5" spans="1:28" s="176" customFormat="1" ht="17.25" customHeight="1" x14ac:dyDescent="0.15">
      <c r="A5" s="177"/>
      <c r="B5" s="178"/>
      <c r="C5" s="179"/>
      <c r="D5" s="179"/>
      <c r="E5" s="179"/>
      <c r="F5" s="179"/>
      <c r="G5" s="179"/>
      <c r="H5" s="179"/>
      <c r="I5" s="179"/>
      <c r="J5" s="179"/>
      <c r="K5" s="179"/>
      <c r="L5" s="179"/>
      <c r="M5" s="179"/>
      <c r="N5" s="179"/>
      <c r="O5" s="179"/>
      <c r="P5" s="180" t="e">
        <f>TEXT(DATE(YEAR($X$27)-5,MONTH($X$27),DAY($X$27)),"ggge年")</f>
        <v>#VALUE!</v>
      </c>
      <c r="Q5" s="181"/>
      <c r="R5" s="180" t="e">
        <f>TEXT(DATE(YEAR($X$27)-5,MONTH($X$27),DAY($X$27)),"ggge")</f>
        <v>#VALUE!</v>
      </c>
      <c r="S5" s="181"/>
      <c r="T5" s="180" t="e">
        <f>TEXT(DATE(YEAR($X$27)-5,MONTH($X$27),DAY($X$27)),"e年")</f>
        <v>#VALUE!</v>
      </c>
      <c r="U5" s="180" t="e">
        <f>TEXT(DATE(YEAR($X$27)-15,MONTH($X$27),DAY($X$27)),"ggge年")</f>
        <v>#VALUE!</v>
      </c>
      <c r="V5" s="181"/>
      <c r="W5" s="180" t="e">
        <f>TEXT(DATE(YEAR($X$27)-15,MONTH($X$27),DAY($X$27)),"ggge")</f>
        <v>#VALUE!</v>
      </c>
      <c r="X5" s="181"/>
      <c r="Y5" s="180" t="e">
        <f>TEXT(DATE(YEAR($X$27)-15,MONTH($X$27),DAY($X$27)),"e年")</f>
        <v>#VALUE!</v>
      </c>
      <c r="AA5" s="179"/>
      <c r="AB5" s="182"/>
    </row>
    <row r="6" spans="1:28" s="176" customFormat="1" ht="27" customHeight="1" x14ac:dyDescent="0.15">
      <c r="A6" s="177"/>
      <c r="B6" s="1440" t="s">
        <v>206</v>
      </c>
      <c r="C6" s="1440"/>
      <c r="D6" s="1440"/>
      <c r="E6" s="1440"/>
      <c r="F6" s="1440"/>
      <c r="G6" s="1440"/>
      <c r="H6" s="1440"/>
      <c r="I6" s="1440"/>
      <c r="J6" s="1440"/>
      <c r="K6" s="1440"/>
      <c r="L6" s="1440"/>
      <c r="M6" s="1440"/>
      <c r="N6" s="1440"/>
      <c r="O6" s="1440"/>
      <c r="P6" s="1440"/>
      <c r="Q6" s="1440"/>
      <c r="R6" s="1440"/>
      <c r="S6" s="1440"/>
      <c r="T6" s="1440"/>
      <c r="U6" s="1440"/>
      <c r="V6" s="1440"/>
      <c r="W6" s="1440"/>
      <c r="X6" s="1440"/>
      <c r="Y6" s="1440"/>
      <c r="Z6" s="1440"/>
      <c r="AA6" s="1440"/>
      <c r="AB6" s="182"/>
    </row>
    <row r="7" spans="1:28" s="176" customFormat="1" ht="27" customHeight="1" x14ac:dyDescent="0.15">
      <c r="A7" s="177"/>
      <c r="B7" s="183"/>
      <c r="C7" s="1507" t="str">
        <f>IF(G23="","右の日付、企業名等には、下の青色着色欄の入力内容が反映","")</f>
        <v/>
      </c>
      <c r="D7" s="183"/>
      <c r="E7" s="183"/>
      <c r="F7" s="183"/>
      <c r="G7" s="183"/>
      <c r="H7" s="183"/>
      <c r="I7" s="183"/>
      <c r="J7" s="183"/>
      <c r="K7" s="183"/>
      <c r="L7" s="183"/>
      <c r="M7" s="183"/>
      <c r="N7" s="183"/>
      <c r="O7" s="183"/>
      <c r="P7" s="183"/>
      <c r="Q7" s="183"/>
      <c r="R7" s="183"/>
      <c r="S7" s="183"/>
      <c r="T7" s="1441">
        <f>IF(W20="","日付",W20)</f>
        <v>46122</v>
      </c>
      <c r="U7" s="1441"/>
      <c r="V7" s="1441"/>
      <c r="W7" s="1441"/>
      <c r="X7" s="1441"/>
      <c r="Y7" s="1441"/>
      <c r="Z7" s="1441"/>
      <c r="AA7" s="183"/>
      <c r="AB7" s="182"/>
    </row>
    <row r="8" spans="1:28" s="176" customFormat="1" ht="27" customHeight="1" x14ac:dyDescent="0.15">
      <c r="A8" s="177"/>
      <c r="B8" s="178"/>
      <c r="C8" s="1508" t="str">
        <f>IF(G23="","されますので、ここでの入力は不要です。","")</f>
        <v/>
      </c>
      <c r="D8" s="179"/>
      <c r="E8" s="179"/>
      <c r="F8" s="179"/>
      <c r="G8" s="179"/>
      <c r="H8" s="179"/>
      <c r="I8" s="179"/>
      <c r="J8" s="179"/>
      <c r="K8" s="179"/>
      <c r="L8" s="179"/>
      <c r="M8" s="179"/>
      <c r="N8" s="179"/>
      <c r="O8" s="179"/>
      <c r="P8" s="179"/>
      <c r="Q8" s="179"/>
      <c r="S8" s="178" t="str">
        <f>IF(G23="","企業名",G23)</f>
        <v>秋田共同参画株式会社</v>
      </c>
      <c r="T8" s="179"/>
      <c r="U8" s="179"/>
      <c r="V8" s="179"/>
      <c r="W8" s="179"/>
      <c r="X8" s="179"/>
      <c r="Y8" s="179"/>
      <c r="Z8" s="179"/>
      <c r="AA8" s="179"/>
      <c r="AB8" s="182"/>
    </row>
    <row r="9" spans="1:28" s="176" customFormat="1" ht="22.5" customHeight="1" x14ac:dyDescent="0.15">
      <c r="A9" s="177"/>
      <c r="B9" s="178"/>
      <c r="C9" s="179"/>
      <c r="D9" s="179"/>
      <c r="E9" s="179"/>
      <c r="F9" s="179"/>
      <c r="G9" s="179"/>
      <c r="H9" s="179"/>
      <c r="I9" s="179"/>
      <c r="J9" s="179"/>
      <c r="K9" s="179"/>
      <c r="L9" s="179"/>
      <c r="M9" s="179"/>
      <c r="N9" s="179"/>
      <c r="O9" s="179"/>
      <c r="P9" s="179"/>
      <c r="Q9" s="179"/>
      <c r="S9" s="176" t="str">
        <f>IF(W23="","代表者職名",W23)</f>
        <v>代表取締役</v>
      </c>
      <c r="X9" s="176" t="str">
        <f>IF(W24="","代表者氏名",W24)</f>
        <v>三角　垂心</v>
      </c>
      <c r="AB9" s="182"/>
    </row>
    <row r="10" spans="1:28" s="176" customFormat="1" ht="22.5" customHeight="1" x14ac:dyDescent="0.15">
      <c r="A10" s="177"/>
      <c r="B10" s="178" t="s">
        <v>81</v>
      </c>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79"/>
      <c r="AA10" s="179"/>
      <c r="AB10" s="182"/>
    </row>
    <row r="11" spans="1:28" s="176" customFormat="1" ht="22.5" customHeight="1" x14ac:dyDescent="0.15">
      <c r="A11" s="177"/>
      <c r="B11" s="178" t="s">
        <v>83</v>
      </c>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182"/>
    </row>
    <row r="12" spans="1:28" s="176" customFormat="1" ht="22.5" customHeight="1" x14ac:dyDescent="0.15">
      <c r="A12" s="177"/>
      <c r="B12" s="178" t="s">
        <v>84</v>
      </c>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79"/>
      <c r="AA12" s="179"/>
      <c r="AB12" s="182"/>
    </row>
    <row r="13" spans="1:28" s="176" customFormat="1" ht="22.5" customHeight="1" x14ac:dyDescent="0.15">
      <c r="A13" s="177"/>
      <c r="B13" s="178" t="s">
        <v>85</v>
      </c>
      <c r="C13" s="179"/>
      <c r="D13" s="179"/>
      <c r="E13" s="179"/>
      <c r="F13" s="179"/>
      <c r="G13" s="179"/>
      <c r="H13" s="179"/>
      <c r="I13" s="179"/>
      <c r="J13" s="179"/>
      <c r="K13" s="179"/>
      <c r="L13" s="179"/>
      <c r="M13" s="179"/>
      <c r="N13" s="179"/>
      <c r="O13" s="179"/>
      <c r="P13" s="179"/>
      <c r="Q13" s="179"/>
      <c r="R13" s="179"/>
      <c r="S13" s="179"/>
      <c r="T13" s="179"/>
      <c r="U13" s="179"/>
      <c r="V13" s="179"/>
      <c r="W13" s="179"/>
      <c r="X13" s="179"/>
      <c r="Y13" s="179"/>
      <c r="Z13" s="179"/>
      <c r="AA13" s="179"/>
      <c r="AB13" s="182"/>
    </row>
    <row r="14" spans="1:28" s="176" customFormat="1" ht="22.5" customHeight="1" x14ac:dyDescent="0.15">
      <c r="A14" s="184"/>
      <c r="B14" s="185" t="s">
        <v>123</v>
      </c>
      <c r="C14" s="186"/>
      <c r="D14" s="186"/>
      <c r="E14" s="186"/>
      <c r="F14" s="186"/>
      <c r="G14" s="186"/>
      <c r="H14" s="186"/>
      <c r="I14" s="186"/>
      <c r="J14" s="186"/>
      <c r="K14" s="186"/>
      <c r="L14" s="186"/>
      <c r="M14" s="186"/>
      <c r="N14" s="186"/>
      <c r="O14" s="186"/>
      <c r="P14" s="186"/>
      <c r="Q14" s="186"/>
      <c r="R14" s="186"/>
      <c r="S14" s="186"/>
      <c r="T14" s="186"/>
      <c r="U14" s="186"/>
      <c r="V14" s="186"/>
      <c r="W14" s="186"/>
      <c r="X14" s="186"/>
      <c r="Y14" s="186"/>
      <c r="Z14" s="186"/>
      <c r="AA14" s="186"/>
      <c r="AB14" s="187"/>
    </row>
    <row r="15" spans="1:28" s="176" customFormat="1" ht="17.25" customHeight="1" x14ac:dyDescent="0.15">
      <c r="C15" s="179"/>
      <c r="D15" s="179"/>
      <c r="G15" s="188"/>
      <c r="H15" s="188"/>
      <c r="I15" s="188"/>
      <c r="J15" s="188"/>
      <c r="K15" s="188"/>
      <c r="L15" s="188"/>
      <c r="M15" s="188"/>
      <c r="N15" s="181"/>
      <c r="O15" s="181"/>
      <c r="P15" s="180"/>
      <c r="Q15" s="181"/>
      <c r="R15" s="180" t="str">
        <f>TEXT(DATE(YEAR($I$27)-9,MONTH($I$27),DAY($I$27)),"ggge年")</f>
        <v>平成28年</v>
      </c>
      <c r="S15" s="180" t="str">
        <f>TEXT(DATE(YEAR($I$27)-9,MONTH($I$27),DAY($I$27)),"ggge")</f>
        <v>平成28</v>
      </c>
      <c r="T15" s="180" t="str">
        <f>TEXT(DATE(YEAR($I$27)-9,MONTH($I$27),DAY($I$27)),"e年")</f>
        <v>28年</v>
      </c>
      <c r="U15" s="188"/>
      <c r="V15" s="189"/>
      <c r="W15" s="188"/>
      <c r="X15" s="189"/>
      <c r="Y15" s="188"/>
      <c r="Z15" s="188"/>
      <c r="AA15" s="190"/>
    </row>
    <row r="16" spans="1:28" s="176" customFormat="1" ht="17.25" customHeight="1" x14ac:dyDescent="0.15">
      <c r="C16" s="179"/>
      <c r="D16" s="179"/>
      <c r="G16" s="188"/>
      <c r="I16" s="188"/>
      <c r="K16" s="171"/>
      <c r="L16" s="188"/>
      <c r="M16" s="188"/>
      <c r="N16" s="181"/>
      <c r="O16" s="180" t="str">
        <f>TEXT(I27,"ggge年")</f>
        <v>令和7年</v>
      </c>
      <c r="P16" s="180" t="str">
        <f>TEXT(I27,"ggge")</f>
        <v>令和7</v>
      </c>
      <c r="Q16" s="180" t="str">
        <f>TEXT(I27,"e年")</f>
        <v>7年</v>
      </c>
      <c r="R16" s="180" t="str">
        <f>TEXT(DATE(YEAR($I$27)-10,MONTH($I$27),DAY($I$27)),"ggge年")</f>
        <v>平成27年</v>
      </c>
      <c r="S16" s="180" t="str">
        <f>TEXT(DATE(YEAR($I$27)-10,MONTH($I$27),DAY($I$27)),"ggge")</f>
        <v>平成27</v>
      </c>
      <c r="T16" s="180" t="str">
        <f>TEXT(DATE(YEAR($I$27)-10,MONTH($I$27),DAY($I$27)),"e年")</f>
        <v>27年</v>
      </c>
      <c r="U16" s="188"/>
      <c r="V16" s="189"/>
      <c r="W16" s="188"/>
      <c r="X16" s="189"/>
      <c r="Y16" s="188"/>
      <c r="Z16" s="188"/>
      <c r="AA16" s="190"/>
    </row>
    <row r="17" spans="2:27" s="176" customFormat="1" ht="17.25" customHeight="1" x14ac:dyDescent="0.15">
      <c r="C17" s="179"/>
      <c r="D17" s="179"/>
      <c r="G17" s="188"/>
      <c r="H17" s="188"/>
      <c r="I17" s="188"/>
      <c r="J17" s="188"/>
      <c r="K17" s="188"/>
      <c r="L17" s="188"/>
      <c r="M17" s="188"/>
      <c r="N17" s="181"/>
      <c r="O17" s="180" t="str">
        <f>TEXT(DATE(YEAR($I$27)-1,MONTH($I$27),DAY($I$27)),"ggge年")</f>
        <v>令和6年</v>
      </c>
      <c r="P17" s="180" t="str">
        <f>TEXT(DATE(YEAR($I$27)-1,MONTH($I$27),DAY($I$27)),"ggge")</f>
        <v>令和6</v>
      </c>
      <c r="Q17" s="180" t="str">
        <f>TEXT(DATE(YEAR($I$27)-1,MONTH($I$27),DAY($I$27)),"e年")</f>
        <v>6年</v>
      </c>
      <c r="R17" s="180" t="str">
        <f>TEXT(DATE(YEAR($I$27)-11,MONTH($I$27),DAY($I$27)),"ggge年")</f>
        <v>平成26年</v>
      </c>
      <c r="S17" s="180" t="str">
        <f>TEXT(DATE(YEAR($I$27)-11,MONTH($I$27),DAY($I$27)),"ggge")</f>
        <v>平成26</v>
      </c>
      <c r="T17" s="180" t="str">
        <f>TEXT(DATE(YEAR($I$27)-11,MONTH($I$27),DAY($I$27)),"e年")</f>
        <v>26年</v>
      </c>
      <c r="U17" s="188"/>
      <c r="V17" s="189"/>
      <c r="W17" s="188"/>
      <c r="X17" s="189"/>
      <c r="Y17" s="188"/>
      <c r="Z17" s="188"/>
      <c r="AA17" s="190"/>
    </row>
    <row r="18" spans="2:27" s="176" customFormat="1" ht="17.25" customHeight="1" x14ac:dyDescent="0.15">
      <c r="C18" s="179"/>
      <c r="D18" s="179"/>
      <c r="G18" s="188"/>
      <c r="H18" s="188"/>
      <c r="I18" s="188"/>
      <c r="J18" s="188"/>
      <c r="K18" s="188"/>
      <c r="L18" s="188"/>
      <c r="M18" s="188"/>
      <c r="N18" s="181"/>
      <c r="O18" s="180" t="str">
        <f>TEXT(DATE(YEAR($I$27)-2,MONTH($I$27),DAY($I$27)),"ggge年")</f>
        <v>令和5年</v>
      </c>
      <c r="P18" s="180" t="str">
        <f>TEXT(DATE(YEAR($I$27)-2,MONTH($I$27),DAY($I$27)),"ggge")</f>
        <v>令和5</v>
      </c>
      <c r="Q18" s="180" t="str">
        <f>TEXT(DATE(YEAR($I$27)-2,MONTH($I$27),DAY($I$27)),"e年")</f>
        <v>5年</v>
      </c>
      <c r="R18" s="180" t="str">
        <f>TEXT(DATE(YEAR($I$27)-12,MONTH($I$27),DAY($I$27)),"ggge年")</f>
        <v>平成25年</v>
      </c>
      <c r="S18" s="180" t="str">
        <f>TEXT(DATE(YEAR($I$27)-12,MONTH($I$27),DAY($I$27)),"ggge")</f>
        <v>平成25</v>
      </c>
      <c r="T18" s="180" t="str">
        <f>TEXT(DATE(YEAR($I$27)-12,MONTH($I$27),DAY($I$27)),"e年")</f>
        <v>25年</v>
      </c>
      <c r="U18" s="188"/>
      <c r="V18" s="189"/>
      <c r="W18" s="188"/>
      <c r="X18" s="189"/>
      <c r="Y18" s="188"/>
      <c r="Z18" s="188"/>
      <c r="AA18" s="190"/>
    </row>
    <row r="19" spans="2:27" ht="17.25" customHeight="1" x14ac:dyDescent="0.15">
      <c r="B19" s="191"/>
      <c r="C19" s="192" t="s">
        <v>161</v>
      </c>
      <c r="G19" s="193"/>
      <c r="H19" s="193"/>
      <c r="I19" s="193"/>
      <c r="J19" s="193"/>
      <c r="K19" s="193"/>
      <c r="L19" s="193"/>
      <c r="M19" s="193"/>
      <c r="N19" s="194"/>
      <c r="O19" s="180" t="str">
        <f>TEXT(DATE(YEAR($I$27)-3,MONTH($I$27),DAY($I$27)),"ggge年")</f>
        <v>令和4年</v>
      </c>
      <c r="P19" s="180" t="str">
        <f>TEXT(DATE(YEAR($I$27)-3,MONTH($I$27),DAY($I$27)),"ggge")</f>
        <v>令和4</v>
      </c>
      <c r="Q19" s="180" t="str">
        <f>TEXT(DATE(YEAR($I$27)-3,MONTH($I$27),DAY($I$27)),"e年")</f>
        <v>4年</v>
      </c>
      <c r="R19" s="180" t="str">
        <f>TEXT(DATE(YEAR($I$27)-13,MONTH($I$27),DAY($I$27)),"ggge年")</f>
        <v>平成24年</v>
      </c>
      <c r="S19" s="180" t="str">
        <f>TEXT(DATE(YEAR($I$27)-13,MONTH($I$27),DAY($I$27)),"ggge")</f>
        <v>平成24</v>
      </c>
      <c r="T19" s="180" t="str">
        <f>TEXT(DATE(YEAR($I$27)-13,MONTH($I$27),DAY($I$27)),"e年")</f>
        <v>24年</v>
      </c>
      <c r="U19" s="193"/>
      <c r="V19" s="189"/>
      <c r="W19" s="193"/>
      <c r="X19" s="189"/>
      <c r="Y19" s="193"/>
      <c r="Z19" s="193"/>
      <c r="AA19" s="193"/>
    </row>
    <row r="20" spans="2:27" ht="5.25" customHeight="1" x14ac:dyDescent="0.15">
      <c r="C20" s="195"/>
      <c r="M20" s="193"/>
      <c r="N20" s="194"/>
      <c r="O20" s="180" t="str">
        <f>TEXT(DATE(YEAR($I$27)-4,MONTH($I$27),DAY($I$27)),"ggge年")</f>
        <v>令和3年</v>
      </c>
      <c r="P20" s="180" t="str">
        <f>TEXT(DATE(YEAR($I$27)-4,MONTH($I$27),DAY($I$27)),"ggge")</f>
        <v>令和3</v>
      </c>
      <c r="Q20" s="180" t="str">
        <f>TEXT(DATE(YEAR($I$27)-4,MONTH($I$27),DAY($I$27)),"e年")</f>
        <v>3年</v>
      </c>
      <c r="R20" s="180" t="str">
        <f>TEXT(DATE(YEAR($I$27)-14,MONTH($I$27),DAY($I$27)),"ggge年")</f>
        <v>平成23年</v>
      </c>
      <c r="S20" s="180" t="str">
        <f>TEXT(DATE(YEAR($I$27)-14,MONTH($I$27),DAY($I$27)),"ggge")</f>
        <v>平成23</v>
      </c>
      <c r="T20" s="180" t="str">
        <f>TEXT(DATE(YEAR($I$27)-14,MONTH($I$27),DAY($I$27)),"e年")</f>
        <v>23年</v>
      </c>
      <c r="U20" s="1442" t="s">
        <v>75</v>
      </c>
      <c r="V20" s="1443"/>
      <c r="W20" s="390">
        <v>46122</v>
      </c>
      <c r="X20" s="391"/>
      <c r="Y20" s="391"/>
      <c r="Z20" s="391"/>
      <c r="AA20" s="392"/>
    </row>
    <row r="21" spans="2:27" ht="17.25" customHeight="1" x14ac:dyDescent="0.15">
      <c r="B21" s="196"/>
      <c r="C21" s="197" t="s">
        <v>162</v>
      </c>
      <c r="D21" s="173"/>
      <c r="E21" s="173"/>
      <c r="F21" s="173"/>
      <c r="G21" s="173"/>
      <c r="H21" s="173"/>
      <c r="I21" s="173"/>
      <c r="J21" s="173"/>
      <c r="K21" s="173"/>
      <c r="L21" s="173"/>
      <c r="M21" s="198"/>
      <c r="N21" s="199"/>
      <c r="O21" s="194"/>
      <c r="P21" s="194"/>
      <c r="Q21" s="194"/>
      <c r="R21" s="180" t="str">
        <f>TEXT(DATE(YEAR($I$27)-15,MONTH($I$27),DAY($I$27)),"ggge年")</f>
        <v>平成22年</v>
      </c>
      <c r="S21" s="180" t="str">
        <f>TEXT(DATE(YEAR($I$27)-15,MONTH($I$27),DAY($I$27)),"ggge")</f>
        <v>平成22</v>
      </c>
      <c r="T21" s="180" t="str">
        <f>TEXT(DATE(YEAR($I$27)-15,MONTH($I$27),DAY($I$27)),"e年")</f>
        <v>22年</v>
      </c>
      <c r="U21" s="1444"/>
      <c r="V21" s="1445"/>
      <c r="W21" s="393"/>
      <c r="X21" s="394"/>
      <c r="Y21" s="394"/>
      <c r="Z21" s="394"/>
      <c r="AA21" s="395"/>
    </row>
    <row r="22" spans="2:27" s="194" customFormat="1" ht="5.25" customHeight="1" x14ac:dyDescent="0.15">
      <c r="B22" s="200"/>
      <c r="C22" s="199"/>
      <c r="D22" s="199"/>
      <c r="E22" s="199"/>
      <c r="F22" s="199"/>
      <c r="G22" s="181" t="s">
        <v>104</v>
      </c>
      <c r="H22" s="181" t="s">
        <v>105</v>
      </c>
      <c r="I22" s="181" t="s">
        <v>64</v>
      </c>
      <c r="J22" s="181" t="s">
        <v>106</v>
      </c>
      <c r="K22" s="181" t="s">
        <v>107</v>
      </c>
      <c r="L22" s="181" t="s">
        <v>108</v>
      </c>
      <c r="M22" s="181" t="s">
        <v>109</v>
      </c>
      <c r="N22" s="181" t="s">
        <v>110</v>
      </c>
      <c r="O22" s="181" t="s">
        <v>111</v>
      </c>
      <c r="P22" s="181" t="s">
        <v>112</v>
      </c>
      <c r="Q22" s="181" t="s">
        <v>113</v>
      </c>
      <c r="R22" s="181" t="s">
        <v>114</v>
      </c>
      <c r="S22" s="181" t="s">
        <v>115</v>
      </c>
      <c r="T22" s="181" t="s">
        <v>116</v>
      </c>
      <c r="U22" s="181" t="s">
        <v>117</v>
      </c>
      <c r="V22" s="181" t="s">
        <v>118</v>
      </c>
      <c r="W22" s="181" t="s">
        <v>119</v>
      </c>
      <c r="X22" s="181"/>
      <c r="Y22" s="181"/>
    </row>
    <row r="23" spans="2:27" ht="22.5" customHeight="1" x14ac:dyDescent="0.15">
      <c r="B23" s="1311" t="s">
        <v>44</v>
      </c>
      <c r="C23" s="1312"/>
      <c r="D23" s="1312"/>
      <c r="E23" s="1312"/>
      <c r="F23" s="1313"/>
      <c r="G23" s="877" t="s">
        <v>248</v>
      </c>
      <c r="H23" s="878"/>
      <c r="I23" s="878"/>
      <c r="J23" s="878"/>
      <c r="K23" s="878"/>
      <c r="L23" s="878"/>
      <c r="M23" s="878"/>
      <c r="N23" s="878"/>
      <c r="O23" s="878"/>
      <c r="P23" s="878"/>
      <c r="Q23" s="878"/>
      <c r="R23" s="1295" t="s">
        <v>79</v>
      </c>
      <c r="S23" s="1296"/>
      <c r="T23" s="1297"/>
      <c r="U23" s="1311" t="s">
        <v>92</v>
      </c>
      <c r="V23" s="1313"/>
      <c r="W23" s="877" t="s">
        <v>249</v>
      </c>
      <c r="X23" s="878"/>
      <c r="Y23" s="878"/>
      <c r="Z23" s="878"/>
      <c r="AA23" s="879"/>
    </row>
    <row r="24" spans="2:27" ht="22.5" customHeight="1" x14ac:dyDescent="0.15">
      <c r="B24" s="1311" t="s">
        <v>74</v>
      </c>
      <c r="C24" s="1312"/>
      <c r="D24" s="1312"/>
      <c r="E24" s="1312"/>
      <c r="F24" s="1313"/>
      <c r="G24" s="877" t="s">
        <v>250</v>
      </c>
      <c r="H24" s="878"/>
      <c r="I24" s="878"/>
      <c r="J24" s="878"/>
      <c r="K24" s="878"/>
      <c r="L24" s="878"/>
      <c r="M24" s="878"/>
      <c r="N24" s="878"/>
      <c r="O24" s="878"/>
      <c r="P24" s="878"/>
      <c r="Q24" s="878"/>
      <c r="R24" s="1436"/>
      <c r="S24" s="1431"/>
      <c r="T24" s="1437"/>
      <c r="U24" s="1311" t="s">
        <v>80</v>
      </c>
      <c r="V24" s="1313"/>
      <c r="W24" s="877" t="s">
        <v>251</v>
      </c>
      <c r="X24" s="878"/>
      <c r="Y24" s="878"/>
      <c r="Z24" s="878"/>
      <c r="AA24" s="879"/>
    </row>
    <row r="25" spans="2:27" s="176" customFormat="1" ht="22.5" customHeight="1" x14ac:dyDescent="0.15">
      <c r="B25" s="1425" t="s">
        <v>82</v>
      </c>
      <c r="C25" s="1426"/>
      <c r="D25" s="1426"/>
      <c r="E25" s="1426"/>
      <c r="F25" s="1427"/>
      <c r="G25" s="201"/>
      <c r="H25" s="202" t="s">
        <v>38</v>
      </c>
      <c r="I25" s="611">
        <v>16</v>
      </c>
      <c r="J25" s="611"/>
      <c r="K25" s="1296" t="s">
        <v>43</v>
      </c>
      <c r="L25" s="1432">
        <f>IF(I25="","",I25+I26)</f>
        <v>73</v>
      </c>
      <c r="M25" s="1433"/>
      <c r="N25" s="1311" t="s">
        <v>65</v>
      </c>
      <c r="O25" s="1312"/>
      <c r="P25" s="1312"/>
      <c r="Q25" s="1312"/>
      <c r="R25" s="903" t="s">
        <v>64</v>
      </c>
      <c r="S25" s="904"/>
      <c r="T25" s="904"/>
      <c r="U25" s="904"/>
      <c r="V25" s="904"/>
      <c r="W25" s="904"/>
      <c r="X25" s="904"/>
      <c r="Y25" s="904"/>
      <c r="Z25" s="904"/>
      <c r="AA25" s="905"/>
    </row>
    <row r="26" spans="2:27" s="176" customFormat="1" ht="22.5" customHeight="1" x14ac:dyDescent="0.15">
      <c r="B26" s="1428"/>
      <c r="C26" s="1429"/>
      <c r="D26" s="1429"/>
      <c r="E26" s="1429"/>
      <c r="F26" s="1430"/>
      <c r="G26" s="203"/>
      <c r="H26" s="204" t="s">
        <v>37</v>
      </c>
      <c r="I26" s="706">
        <v>57</v>
      </c>
      <c r="J26" s="706"/>
      <c r="K26" s="1431"/>
      <c r="L26" s="1434"/>
      <c r="M26" s="1435"/>
      <c r="N26" s="1311" t="s">
        <v>78</v>
      </c>
      <c r="O26" s="1312"/>
      <c r="P26" s="1312"/>
      <c r="Q26" s="1312"/>
      <c r="R26" s="906" t="s">
        <v>252</v>
      </c>
      <c r="S26" s="907"/>
      <c r="T26" s="907"/>
      <c r="U26" s="907"/>
      <c r="V26" s="907"/>
      <c r="W26" s="907"/>
      <c r="X26" s="907"/>
      <c r="Y26" s="907"/>
      <c r="Z26" s="907"/>
      <c r="AA26" s="908"/>
    </row>
    <row r="27" spans="2:27" ht="22.5" customHeight="1" x14ac:dyDescent="0.15">
      <c r="B27" s="1311" t="s">
        <v>76</v>
      </c>
      <c r="C27" s="1312"/>
      <c r="D27" s="1312"/>
      <c r="E27" s="1312"/>
      <c r="F27" s="1313"/>
      <c r="G27" s="1311" t="s">
        <v>228</v>
      </c>
      <c r="H27" s="1313"/>
      <c r="I27" s="383">
        <v>45748</v>
      </c>
      <c r="J27" s="384"/>
      <c r="K27" s="384"/>
      <c r="L27" s="384"/>
      <c r="M27" s="385"/>
      <c r="N27" s="1153" t="s">
        <v>229</v>
      </c>
      <c r="O27" s="1155"/>
      <c r="P27" s="383">
        <v>46112</v>
      </c>
      <c r="Q27" s="384"/>
      <c r="R27" s="384"/>
      <c r="S27" s="384"/>
      <c r="T27" s="385"/>
      <c r="U27" s="205"/>
      <c r="V27" s="205"/>
      <c r="W27" s="205"/>
      <c r="X27" s="206" t="e">
        <f>IF(I27="","",DATEVALUE(_xlfn.CONCAT(I27)))</f>
        <v>#VALUE!</v>
      </c>
      <c r="Y27" s="206"/>
      <c r="Z27" s="206" t="e">
        <f>IF(X27="","",DATE(YEAR(X27)+1,MONTH(X27),DAY(X27)-1))</f>
        <v>#VALUE!</v>
      </c>
      <c r="AA27" s="207"/>
    </row>
    <row r="28" spans="2:27" s="176" customFormat="1" ht="22.5" customHeight="1" x14ac:dyDescent="0.15">
      <c r="B28" s="1422" t="s">
        <v>223</v>
      </c>
      <c r="C28" s="1423"/>
      <c r="D28" s="1423"/>
      <c r="E28" s="1423"/>
      <c r="F28" s="1424"/>
      <c r="G28" s="1251" t="s">
        <v>225</v>
      </c>
      <c r="H28" s="1253"/>
      <c r="I28" s="383">
        <v>45392</v>
      </c>
      <c r="J28" s="384"/>
      <c r="K28" s="384"/>
      <c r="L28" s="384"/>
      <c r="M28" s="385"/>
      <c r="N28" s="1251" t="s">
        <v>226</v>
      </c>
      <c r="O28" s="1253"/>
      <c r="P28" s="383">
        <v>45390</v>
      </c>
      <c r="Q28" s="384"/>
      <c r="R28" s="384"/>
      <c r="S28" s="384"/>
      <c r="T28" s="385"/>
      <c r="U28" s="1251" t="s">
        <v>224</v>
      </c>
      <c r="V28" s="1253"/>
      <c r="W28" s="383">
        <v>47208</v>
      </c>
      <c r="X28" s="384"/>
      <c r="Y28" s="384"/>
      <c r="Z28" s="384"/>
      <c r="AA28" s="385"/>
    </row>
    <row r="29" spans="2:27" s="176" customFormat="1" ht="22.5" customHeight="1" x14ac:dyDescent="0.15">
      <c r="C29" s="179"/>
      <c r="D29" s="179"/>
      <c r="E29" s="179"/>
      <c r="F29" s="179"/>
      <c r="G29" s="181"/>
      <c r="H29" s="181"/>
      <c r="I29" s="181"/>
      <c r="J29" s="181"/>
      <c r="K29" s="181"/>
      <c r="L29" s="181"/>
      <c r="M29" s="181"/>
      <c r="N29" s="181"/>
      <c r="P29" s="181"/>
      <c r="Q29" s="181"/>
      <c r="R29" s="165" t="str">
        <f>IF(G23="","",IF(R25="","上段の産業分類欄は、リストから選択↑ ",IF(AND(R25="製造業",R26=""),"製造業にあっては、中分類も記載↑","")))</f>
        <v/>
      </c>
      <c r="S29" s="181"/>
      <c r="T29" s="181"/>
      <c r="U29" s="181"/>
    </row>
    <row r="30" spans="2:27" s="176" customFormat="1" ht="22.5" customHeight="1" x14ac:dyDescent="0.15">
      <c r="B30" s="1295" t="s">
        <v>97</v>
      </c>
      <c r="C30" s="1296"/>
      <c r="D30" s="1296"/>
      <c r="E30" s="1296"/>
      <c r="F30" s="1296"/>
      <c r="G30" s="1296"/>
      <c r="H30" s="1297"/>
      <c r="I30" s="877" t="s">
        <v>253</v>
      </c>
      <c r="J30" s="878"/>
      <c r="K30" s="878"/>
      <c r="L30" s="878"/>
      <c r="M30" s="879"/>
      <c r="N30" s="208" t="str">
        <f>IF(G23="","",IF(I30=""," ←雇用管理区分の設定欄は、リストから選択",IF(AND(I30="設定あり",Z32="")," ↓名称を記載し、雇用期間～時間外労働欄はリストから選択",IF(AND(I30="設定なし",B55=""),"雇用管理区分の設定がない場合は、下欄の記載は不要です。",""))))</f>
        <v/>
      </c>
      <c r="AA30" s="209"/>
    </row>
    <row r="31" spans="2:27" s="176" customFormat="1" ht="22.5" customHeight="1" x14ac:dyDescent="0.15">
      <c r="B31" s="1421" t="s">
        <v>120</v>
      </c>
      <c r="C31" s="1421"/>
      <c r="D31" s="1421"/>
      <c r="E31" s="1421"/>
      <c r="F31" s="1421"/>
      <c r="G31" s="1421"/>
      <c r="H31" s="1421"/>
      <c r="I31" s="210" t="s">
        <v>103</v>
      </c>
      <c r="J31" s="1311" t="s">
        <v>98</v>
      </c>
      <c r="K31" s="1312"/>
      <c r="L31" s="1312"/>
      <c r="M31" s="1313"/>
      <c r="N31" s="1311" t="s">
        <v>100</v>
      </c>
      <c r="O31" s="1312"/>
      <c r="P31" s="1312"/>
      <c r="Q31" s="1313"/>
      <c r="R31" s="1311" t="s">
        <v>99</v>
      </c>
      <c r="S31" s="1312"/>
      <c r="T31" s="1312"/>
      <c r="U31" s="1313"/>
      <c r="V31" s="1396" t="s">
        <v>101</v>
      </c>
      <c r="W31" s="1396"/>
      <c r="X31" s="1396" t="s">
        <v>102</v>
      </c>
      <c r="Y31" s="1396"/>
      <c r="Z31" s="1421" t="s">
        <v>43</v>
      </c>
      <c r="AA31" s="1421"/>
    </row>
    <row r="32" spans="2:27" s="176" customFormat="1" ht="22.5" customHeight="1" x14ac:dyDescent="0.15">
      <c r="B32" s="1414" t="s">
        <v>121</v>
      </c>
      <c r="C32" s="877"/>
      <c r="D32" s="878"/>
      <c r="E32" s="878"/>
      <c r="F32" s="878"/>
      <c r="G32" s="878"/>
      <c r="H32" s="879"/>
      <c r="I32" s="38"/>
      <c r="J32" s="903" t="s">
        <v>254</v>
      </c>
      <c r="K32" s="904"/>
      <c r="L32" s="904"/>
      <c r="M32" s="905"/>
      <c r="N32" s="877" t="s">
        <v>255</v>
      </c>
      <c r="O32" s="878"/>
      <c r="P32" s="878"/>
      <c r="Q32" s="879"/>
      <c r="R32" s="877" t="s">
        <v>256</v>
      </c>
      <c r="S32" s="878"/>
      <c r="T32" s="878"/>
      <c r="U32" s="879"/>
      <c r="V32" s="463">
        <v>3</v>
      </c>
      <c r="W32" s="464"/>
      <c r="X32" s="463">
        <v>5</v>
      </c>
      <c r="Y32" s="464"/>
      <c r="Z32" s="1412">
        <f>IF(V32+X32=0,"",V32+X32)</f>
        <v>8</v>
      </c>
      <c r="AA32" s="1413"/>
    </row>
    <row r="33" spans="2:27" s="176" customFormat="1" ht="22.5" customHeight="1" x14ac:dyDescent="0.15">
      <c r="B33" s="1415"/>
      <c r="C33" s="877" t="s">
        <v>257</v>
      </c>
      <c r="D33" s="878"/>
      <c r="E33" s="878"/>
      <c r="F33" s="878"/>
      <c r="G33" s="878"/>
      <c r="H33" s="879"/>
      <c r="I33" s="38" t="s">
        <v>258</v>
      </c>
      <c r="J33" s="903" t="s">
        <v>254</v>
      </c>
      <c r="K33" s="904"/>
      <c r="L33" s="904"/>
      <c r="M33" s="905"/>
      <c r="N33" s="877" t="s">
        <v>255</v>
      </c>
      <c r="O33" s="878"/>
      <c r="P33" s="878"/>
      <c r="Q33" s="879"/>
      <c r="R33" s="945" t="s">
        <v>256</v>
      </c>
      <c r="S33" s="1420"/>
      <c r="T33" s="1420"/>
      <c r="U33" s="947"/>
      <c r="V33" s="463">
        <v>10</v>
      </c>
      <c r="W33" s="464"/>
      <c r="X33" s="463">
        <v>46</v>
      </c>
      <c r="Y33" s="464"/>
      <c r="Z33" s="1412">
        <f t="shared" ref="Z33:Z37" si="0">IF(V33+X33=0,"",V33+X33)</f>
        <v>56</v>
      </c>
      <c r="AA33" s="1413"/>
    </row>
    <row r="34" spans="2:27" s="176" customFormat="1" ht="22.5" customHeight="1" x14ac:dyDescent="0.15">
      <c r="B34" s="1416"/>
      <c r="C34" s="877"/>
      <c r="D34" s="878"/>
      <c r="E34" s="878"/>
      <c r="F34" s="878"/>
      <c r="G34" s="878"/>
      <c r="H34" s="879"/>
      <c r="I34" s="38"/>
      <c r="J34" s="903"/>
      <c r="K34" s="904"/>
      <c r="L34" s="904"/>
      <c r="M34" s="905"/>
      <c r="N34" s="877"/>
      <c r="O34" s="878"/>
      <c r="P34" s="878"/>
      <c r="Q34" s="879"/>
      <c r="R34" s="877"/>
      <c r="S34" s="878"/>
      <c r="T34" s="878"/>
      <c r="U34" s="879"/>
      <c r="V34" s="463"/>
      <c r="W34" s="464"/>
      <c r="X34" s="463"/>
      <c r="Y34" s="464"/>
      <c r="Z34" s="1412" t="str">
        <f t="shared" si="0"/>
        <v/>
      </c>
      <c r="AA34" s="1413"/>
    </row>
    <row r="35" spans="2:27" s="176" customFormat="1" ht="22.5" customHeight="1" x14ac:dyDescent="0.15">
      <c r="B35" s="1414" t="s">
        <v>122</v>
      </c>
      <c r="C35" s="877" t="s">
        <v>259</v>
      </c>
      <c r="D35" s="878"/>
      <c r="E35" s="878"/>
      <c r="F35" s="878"/>
      <c r="G35" s="878"/>
      <c r="H35" s="879"/>
      <c r="I35" s="1417"/>
      <c r="J35" s="903" t="s">
        <v>254</v>
      </c>
      <c r="K35" s="904"/>
      <c r="L35" s="904"/>
      <c r="M35" s="905"/>
      <c r="N35" s="877" t="s">
        <v>255</v>
      </c>
      <c r="O35" s="878"/>
      <c r="P35" s="878"/>
      <c r="Q35" s="879"/>
      <c r="R35" s="877" t="s">
        <v>256</v>
      </c>
      <c r="S35" s="878"/>
      <c r="T35" s="878"/>
      <c r="U35" s="879"/>
      <c r="V35" s="463">
        <v>3</v>
      </c>
      <c r="W35" s="464"/>
      <c r="X35" s="463">
        <v>0</v>
      </c>
      <c r="Y35" s="464"/>
      <c r="Z35" s="1412">
        <f t="shared" si="0"/>
        <v>3</v>
      </c>
      <c r="AA35" s="1413"/>
    </row>
    <row r="36" spans="2:27" s="176" customFormat="1" ht="22.5" customHeight="1" x14ac:dyDescent="0.15">
      <c r="B36" s="1415"/>
      <c r="C36" s="877"/>
      <c r="D36" s="878"/>
      <c r="E36" s="878"/>
      <c r="F36" s="878"/>
      <c r="G36" s="878"/>
      <c r="H36" s="879"/>
      <c r="I36" s="1418"/>
      <c r="J36" s="903"/>
      <c r="K36" s="904"/>
      <c r="L36" s="904"/>
      <c r="M36" s="905"/>
      <c r="N36" s="877"/>
      <c r="O36" s="878"/>
      <c r="P36" s="878"/>
      <c r="Q36" s="879"/>
      <c r="R36" s="877"/>
      <c r="S36" s="878"/>
      <c r="T36" s="878"/>
      <c r="U36" s="879"/>
      <c r="V36" s="463"/>
      <c r="W36" s="464"/>
      <c r="X36" s="463"/>
      <c r="Y36" s="464"/>
      <c r="Z36" s="1412" t="str">
        <f t="shared" si="0"/>
        <v/>
      </c>
      <c r="AA36" s="1413"/>
    </row>
    <row r="37" spans="2:27" s="176" customFormat="1" ht="22.5" customHeight="1" x14ac:dyDescent="0.15">
      <c r="B37" s="1416"/>
      <c r="C37" s="877"/>
      <c r="D37" s="878"/>
      <c r="E37" s="878"/>
      <c r="F37" s="878"/>
      <c r="G37" s="878"/>
      <c r="H37" s="879"/>
      <c r="I37" s="1419"/>
      <c r="J37" s="903"/>
      <c r="K37" s="904"/>
      <c r="L37" s="904"/>
      <c r="M37" s="905"/>
      <c r="N37" s="877"/>
      <c r="O37" s="878"/>
      <c r="P37" s="878"/>
      <c r="Q37" s="879"/>
      <c r="R37" s="877"/>
      <c r="S37" s="878"/>
      <c r="T37" s="878"/>
      <c r="U37" s="879"/>
      <c r="V37" s="463"/>
      <c r="W37" s="464"/>
      <c r="X37" s="463"/>
      <c r="Y37" s="464"/>
      <c r="Z37" s="1412" t="str">
        <f t="shared" si="0"/>
        <v/>
      </c>
      <c r="AA37" s="1413"/>
    </row>
    <row r="38" spans="2:27" s="188" customFormat="1" ht="27.75" customHeight="1" x14ac:dyDescent="0.15">
      <c r="B38" s="1410" t="s">
        <v>233</v>
      </c>
      <c r="C38" s="1411"/>
      <c r="D38" s="1411"/>
      <c r="E38" s="1411"/>
      <c r="F38" s="1411"/>
      <c r="G38" s="1411"/>
      <c r="H38" s="1411"/>
      <c r="I38" s="1411"/>
      <c r="J38" s="1411"/>
      <c r="K38" s="1411"/>
      <c r="L38" s="1411"/>
      <c r="M38" s="1411"/>
      <c r="N38" s="1411"/>
      <c r="O38" s="1411"/>
      <c r="P38" s="1411"/>
      <c r="Q38" s="1411"/>
      <c r="R38" s="1411"/>
      <c r="S38" s="1411"/>
      <c r="T38" s="1411"/>
      <c r="U38" s="1411"/>
      <c r="V38" s="1411"/>
      <c r="W38" s="1411"/>
      <c r="X38" s="1411"/>
      <c r="Y38" s="1411"/>
      <c r="Z38" s="1411"/>
      <c r="AA38" s="1411"/>
    </row>
    <row r="39" spans="2:27" s="188" customFormat="1" ht="17.25" customHeight="1" x14ac:dyDescent="0.15">
      <c r="B39" s="39"/>
      <c r="C39" s="190"/>
      <c r="D39" s="190"/>
      <c r="U39" s="189"/>
      <c r="W39" s="189"/>
      <c r="Y39" s="189"/>
      <c r="AA39" s="190"/>
    </row>
    <row r="40" spans="2:27" s="176" customFormat="1" ht="22.5" customHeight="1" x14ac:dyDescent="0.15">
      <c r="B40" s="1311" t="s">
        <v>94</v>
      </c>
      <c r="C40" s="1312"/>
      <c r="D40" s="1312"/>
      <c r="E40" s="1312"/>
      <c r="F40" s="1313"/>
      <c r="G40" s="1311" t="s">
        <v>227</v>
      </c>
      <c r="H40" s="1313"/>
      <c r="I40" s="877" t="s">
        <v>260</v>
      </c>
      <c r="J40" s="878"/>
      <c r="K40" s="878"/>
      <c r="L40" s="878"/>
      <c r="M40" s="879"/>
      <c r="N40" s="1311" t="s">
        <v>91</v>
      </c>
      <c r="O40" s="1313"/>
      <c r="P40" s="398" t="s">
        <v>261</v>
      </c>
      <c r="Q40" s="399"/>
      <c r="R40" s="399"/>
      <c r="S40" s="399"/>
      <c r="T40" s="400"/>
      <c r="U40" s="1311" t="s">
        <v>80</v>
      </c>
      <c r="V40" s="1313"/>
      <c r="W40" s="398" t="s">
        <v>262</v>
      </c>
      <c r="X40" s="399"/>
      <c r="Y40" s="399"/>
      <c r="Z40" s="399"/>
      <c r="AA40" s="400"/>
    </row>
    <row r="41" spans="2:27" s="176" customFormat="1" ht="22.5" customHeight="1" x14ac:dyDescent="0.15">
      <c r="B41" s="1311" t="s">
        <v>95</v>
      </c>
      <c r="C41" s="1312"/>
      <c r="D41" s="1312"/>
      <c r="E41" s="1312"/>
      <c r="F41" s="1313"/>
      <c r="G41" s="1311" t="s">
        <v>96</v>
      </c>
      <c r="H41" s="1313"/>
      <c r="I41" s="877" t="s">
        <v>263</v>
      </c>
      <c r="J41" s="878"/>
      <c r="K41" s="878"/>
      <c r="L41" s="878"/>
      <c r="M41" s="879"/>
      <c r="N41" s="1311" t="s">
        <v>93</v>
      </c>
      <c r="O41" s="1313"/>
      <c r="P41" s="877" t="s">
        <v>264</v>
      </c>
      <c r="Q41" s="878"/>
      <c r="R41" s="878"/>
      <c r="S41" s="878"/>
      <c r="T41" s="878"/>
      <c r="U41" s="878"/>
      <c r="V41" s="878"/>
      <c r="W41" s="878"/>
      <c r="X41" s="878"/>
      <c r="Y41" s="878"/>
      <c r="Z41" s="878"/>
      <c r="AA41" s="879"/>
    </row>
    <row r="42" spans="2:27" s="188" customFormat="1" ht="17.25" customHeight="1" x14ac:dyDescent="0.15">
      <c r="B42" s="39"/>
      <c r="C42" s="190"/>
      <c r="D42" s="190"/>
      <c r="U42" s="190"/>
      <c r="V42" s="190"/>
      <c r="W42" s="190"/>
      <c r="X42" s="190"/>
      <c r="Y42" s="190"/>
      <c r="Z42" s="190"/>
      <c r="AA42" s="190"/>
    </row>
    <row r="43" spans="2:27" ht="30.75" customHeight="1" x14ac:dyDescent="0.15">
      <c r="B43" s="211" t="s">
        <v>154</v>
      </c>
      <c r="H43" s="211"/>
      <c r="AA43" s="212" t="str">
        <f>IF(G$23="","",G$23)</f>
        <v>秋田共同参画株式会社</v>
      </c>
    </row>
    <row r="44" spans="2:27" ht="17.25" customHeight="1" x14ac:dyDescent="0.15">
      <c r="B44" s="213" t="s">
        <v>147</v>
      </c>
      <c r="C44" s="214"/>
      <c r="D44" s="214"/>
      <c r="F44" s="214"/>
      <c r="G44" s="214"/>
      <c r="H44" s="214"/>
      <c r="I44" s="214"/>
      <c r="J44" s="214"/>
      <c r="K44" s="214"/>
      <c r="L44" s="214"/>
      <c r="M44" s="214"/>
      <c r="N44" s="214"/>
      <c r="O44" s="214"/>
      <c r="P44" s="214"/>
      <c r="Q44" s="214"/>
      <c r="R44" s="214"/>
      <c r="S44" s="214"/>
      <c r="T44" s="214"/>
      <c r="U44" s="214"/>
      <c r="V44" s="214"/>
      <c r="W44" s="214"/>
      <c r="X44" s="214"/>
      <c r="Y44" s="214"/>
      <c r="Z44" s="214"/>
      <c r="AA44" s="215"/>
    </row>
    <row r="45" spans="2:27" s="176" customFormat="1" ht="17.25" customHeight="1" x14ac:dyDescent="0.15">
      <c r="B45" s="1407" t="s">
        <v>124</v>
      </c>
      <c r="C45" s="1408"/>
      <c r="D45" s="1408"/>
      <c r="E45" s="1408"/>
      <c r="F45" s="1408"/>
      <c r="G45" s="1408"/>
      <c r="H45" s="1408"/>
      <c r="I45" s="1408"/>
      <c r="J45" s="1408"/>
      <c r="K45" s="1408"/>
      <c r="L45" s="1408"/>
      <c r="M45" s="1408"/>
      <c r="N45" s="1408"/>
      <c r="O45" s="1408"/>
      <c r="P45" s="1408"/>
      <c r="Q45" s="1408"/>
      <c r="R45" s="1408"/>
      <c r="S45" s="1408"/>
      <c r="T45" s="1408"/>
      <c r="U45" s="1408"/>
      <c r="V45" s="1408"/>
      <c r="W45" s="1408"/>
      <c r="X45" s="1408"/>
      <c r="Y45" s="1408"/>
      <c r="Z45" s="1408"/>
      <c r="AA45" s="1409"/>
    </row>
    <row r="46" spans="2:27" s="176" customFormat="1" ht="37.5" customHeight="1" x14ac:dyDescent="0.15">
      <c r="B46" s="1397" t="s">
        <v>146</v>
      </c>
      <c r="C46" s="1398"/>
      <c r="D46" s="1398"/>
      <c r="E46" s="1398"/>
      <c r="F46" s="1398"/>
      <c r="G46" s="1398"/>
      <c r="H46" s="1398"/>
      <c r="I46" s="1398"/>
      <c r="J46" s="1398"/>
      <c r="K46" s="1398"/>
      <c r="L46" s="1398"/>
      <c r="M46" s="1398"/>
      <c r="N46" s="1398"/>
      <c r="O46" s="1398"/>
      <c r="P46" s="1398"/>
      <c r="Q46" s="1398"/>
      <c r="R46" s="1398"/>
      <c r="S46" s="1398"/>
      <c r="T46" s="1398"/>
      <c r="U46" s="1398"/>
      <c r="V46" s="1398"/>
      <c r="W46" s="1398"/>
      <c r="X46" s="1398"/>
      <c r="Y46" s="1398"/>
      <c r="Z46" s="1398"/>
      <c r="AA46" s="1399"/>
    </row>
    <row r="47" spans="2:27" s="176" customFormat="1" ht="27" customHeight="1" x14ac:dyDescent="0.15">
      <c r="B47" s="1397" t="s">
        <v>125</v>
      </c>
      <c r="C47" s="1398"/>
      <c r="D47" s="1398"/>
      <c r="E47" s="1398"/>
      <c r="F47" s="1398"/>
      <c r="G47" s="1398"/>
      <c r="H47" s="1398"/>
      <c r="I47" s="1398"/>
      <c r="J47" s="1398"/>
      <c r="K47" s="1398"/>
      <c r="L47" s="1398"/>
      <c r="M47" s="1398"/>
      <c r="N47" s="1398"/>
      <c r="O47" s="1398"/>
      <c r="P47" s="1398"/>
      <c r="Q47" s="1398"/>
      <c r="R47" s="1398"/>
      <c r="S47" s="1398"/>
      <c r="T47" s="1398"/>
      <c r="U47" s="1398"/>
      <c r="V47" s="1398"/>
      <c r="W47" s="1398"/>
      <c r="X47" s="1398"/>
      <c r="Y47" s="1398"/>
      <c r="Z47" s="1398"/>
      <c r="AA47" s="1399"/>
    </row>
    <row r="48" spans="2:27" s="176" customFormat="1" ht="17.25" customHeight="1" x14ac:dyDescent="0.15">
      <c r="B48" s="1400" t="s">
        <v>13</v>
      </c>
      <c r="C48" s="1398"/>
      <c r="D48" s="1398"/>
      <c r="E48" s="1398"/>
      <c r="F48" s="1398"/>
      <c r="G48" s="1398"/>
      <c r="H48" s="1398"/>
      <c r="I48" s="1398"/>
      <c r="J48" s="1398"/>
      <c r="K48" s="1398"/>
      <c r="L48" s="1398"/>
      <c r="M48" s="1398"/>
      <c r="N48" s="1398"/>
      <c r="O48" s="1398"/>
      <c r="P48" s="1398"/>
      <c r="Q48" s="1398"/>
      <c r="R48" s="1398"/>
      <c r="S48" s="1398"/>
      <c r="T48" s="1398"/>
      <c r="U48" s="1398"/>
      <c r="V48" s="1398"/>
      <c r="W48" s="1398"/>
      <c r="X48" s="1398"/>
      <c r="Y48" s="1398"/>
      <c r="Z48" s="1398"/>
      <c r="AA48" s="1399"/>
    </row>
    <row r="49" spans="2:27" ht="27" customHeight="1" x14ac:dyDescent="0.15">
      <c r="B49" s="1401" t="s">
        <v>86</v>
      </c>
      <c r="C49" s="1402"/>
      <c r="D49" s="1402"/>
      <c r="E49" s="1402"/>
      <c r="F49" s="1402"/>
      <c r="G49" s="1402"/>
      <c r="H49" s="1402"/>
      <c r="I49" s="1402"/>
      <c r="J49" s="1402"/>
      <c r="K49" s="1402"/>
      <c r="L49" s="1402"/>
      <c r="M49" s="1402"/>
      <c r="N49" s="1402"/>
      <c r="O49" s="1402"/>
      <c r="P49" s="1402"/>
      <c r="Q49" s="1402"/>
      <c r="R49" s="1402"/>
      <c r="S49" s="1402"/>
      <c r="T49" s="1402"/>
      <c r="U49" s="1402"/>
      <c r="V49" s="1402"/>
      <c r="W49" s="1402"/>
      <c r="X49" s="1402"/>
      <c r="Y49" s="1402"/>
      <c r="Z49" s="1402"/>
      <c r="AA49" s="1403"/>
    </row>
    <row r="50" spans="2:27" ht="17.25" customHeight="1" x14ac:dyDescent="0.15">
      <c r="H50" s="216"/>
    </row>
    <row r="51" spans="2:27" ht="17.25" customHeight="1" x14ac:dyDescent="0.15">
      <c r="B51" s="217" t="s">
        <v>128</v>
      </c>
    </row>
    <row r="52" spans="2:27" ht="16.5" customHeight="1" thickBot="1" x14ac:dyDescent="0.2">
      <c r="C52" s="218" t="s">
        <v>240</v>
      </c>
      <c r="D52" s="218"/>
      <c r="E52" s="218"/>
      <c r="F52" s="218"/>
      <c r="G52" s="218"/>
      <c r="H52" s="218"/>
      <c r="I52" s="218"/>
      <c r="J52" s="218"/>
      <c r="K52" s="218"/>
      <c r="L52" s="218"/>
      <c r="M52" s="218"/>
      <c r="N52" s="218"/>
      <c r="O52" s="218"/>
      <c r="P52" s="218"/>
      <c r="Q52" s="218"/>
      <c r="R52" s="218"/>
      <c r="S52" s="218"/>
      <c r="T52" s="218"/>
      <c r="U52" s="218"/>
      <c r="V52" s="218"/>
      <c r="W52" s="218"/>
      <c r="X52" s="218"/>
      <c r="Y52" s="218"/>
      <c r="Z52" s="218"/>
      <c r="AA52" s="218"/>
    </row>
    <row r="53" spans="2:27" ht="17.25" customHeight="1" thickTop="1" x14ac:dyDescent="0.15">
      <c r="H53" s="1404" t="s">
        <v>40</v>
      </c>
      <c r="I53" s="1405"/>
      <c r="J53" s="1405"/>
      <c r="K53" s="1405"/>
      <c r="L53" s="1405"/>
      <c r="M53" s="1405"/>
      <c r="N53" s="1405"/>
      <c r="O53" s="1405"/>
      <c r="P53" s="1405"/>
      <c r="Q53" s="1406"/>
      <c r="R53" s="1404" t="s">
        <v>41</v>
      </c>
      <c r="S53" s="1405"/>
      <c r="T53" s="1405"/>
      <c r="U53" s="1405"/>
      <c r="V53" s="1405"/>
      <c r="W53" s="1405"/>
      <c r="X53" s="1405"/>
      <c r="Y53" s="1405"/>
      <c r="Z53" s="1227" t="s">
        <v>178</v>
      </c>
      <c r="AA53" s="1228"/>
    </row>
    <row r="54" spans="2:27" s="172" customFormat="1" ht="47.25" customHeight="1" x14ac:dyDescent="0.15">
      <c r="B54" s="1396" t="s">
        <v>0</v>
      </c>
      <c r="C54" s="1396"/>
      <c r="D54" s="1396"/>
      <c r="E54" s="219"/>
      <c r="F54" s="1395" t="s">
        <v>70</v>
      </c>
      <c r="G54" s="1396"/>
      <c r="H54" s="1395" t="s">
        <v>58</v>
      </c>
      <c r="I54" s="1396"/>
      <c r="J54" s="1395" t="s">
        <v>59</v>
      </c>
      <c r="K54" s="1396"/>
      <c r="L54" s="1395" t="s">
        <v>60</v>
      </c>
      <c r="M54" s="1396"/>
      <c r="N54" s="1395" t="s">
        <v>4</v>
      </c>
      <c r="O54" s="1085"/>
      <c r="P54" s="1395" t="s">
        <v>7</v>
      </c>
      <c r="Q54" s="1396"/>
      <c r="R54" s="1087" t="s">
        <v>55</v>
      </c>
      <c r="S54" s="1396"/>
      <c r="T54" s="1395" t="s">
        <v>56</v>
      </c>
      <c r="U54" s="1396"/>
      <c r="V54" s="1395" t="s">
        <v>57</v>
      </c>
      <c r="W54" s="1088"/>
      <c r="X54" s="1395" t="s">
        <v>6</v>
      </c>
      <c r="Y54" s="1085"/>
      <c r="Z54" s="1391"/>
      <c r="AA54" s="1392"/>
    </row>
    <row r="55" spans="2:27" s="172" customFormat="1" ht="17.25" customHeight="1" x14ac:dyDescent="0.15">
      <c r="B55" s="612" t="s">
        <v>265</v>
      </c>
      <c r="C55" s="613"/>
      <c r="D55" s="614"/>
      <c r="E55" s="220" t="str">
        <f>IF(B55="","",B55&amp;F55)</f>
        <v>営業職45748</v>
      </c>
      <c r="F55" s="1384">
        <f>IF(OR($I$27="",B55=""),"",DATE(YEAR($I$27),MONTH($I$27),DAY($I$27)))</f>
        <v>45748</v>
      </c>
      <c r="G55" s="1384"/>
      <c r="H55" s="860">
        <v>0</v>
      </c>
      <c r="I55" s="860"/>
      <c r="J55" s="860">
        <v>0</v>
      </c>
      <c r="K55" s="860"/>
      <c r="L55" s="1380" t="str">
        <f>IF(F55="","",IF(J55&lt;1,"－",ROUND(H55/J55,2)))</f>
        <v>－</v>
      </c>
      <c r="M55" s="1381"/>
      <c r="N55" s="1393" t="str">
        <f>IF(F55="","",IF(OR(J55&lt;1,J56&lt;1,J57&lt;1),"－",ROUND(SUM(L55:M57)/3,2)))</f>
        <v>－</v>
      </c>
      <c r="O55" s="1394"/>
      <c r="P55" s="1393" t="str">
        <f>IF(F55="","",IF(N55="－",N55,ROUND(N55*0.8,2)))</f>
        <v>－</v>
      </c>
      <c r="Q55" s="1393"/>
      <c r="R55" s="464">
        <v>0</v>
      </c>
      <c r="S55" s="860"/>
      <c r="T55" s="860">
        <v>0</v>
      </c>
      <c r="U55" s="860"/>
      <c r="V55" s="1380" t="str">
        <f>IF(F55="","",IF(T55&lt;1,"－",ROUND(R55/T55,2)))</f>
        <v>－</v>
      </c>
      <c r="W55" s="1389"/>
      <c r="X55" s="1393" t="str">
        <f>IF(F55="","",IF(OR(T55&lt;1,T56&lt;1,T57&lt;1),"－",ROUND(SUM(V55:W57)/3,2)))</f>
        <v>－</v>
      </c>
      <c r="Y55" s="1394"/>
      <c r="Z55" s="1231" t="str">
        <f>IF(B55="","",IF(OR(P55="－",X55="－"),"比較不能",IF(P55&lt;X55,"Ｃ＜Ｂ","Ｃ≧Ｂ")))</f>
        <v>比較不能</v>
      </c>
      <c r="AA55" s="1232"/>
    </row>
    <row r="56" spans="2:27" s="172" customFormat="1" ht="17.25" customHeight="1" x14ac:dyDescent="0.15">
      <c r="B56" s="615"/>
      <c r="C56" s="1240"/>
      <c r="D56" s="617"/>
      <c r="E56" s="220" t="str">
        <f>IF(B55="","",B55&amp;F56)</f>
        <v>営業職45383</v>
      </c>
      <c r="F56" s="1384">
        <f>IF(OR($I$27="",B55=""),"",DATE(YEAR($I$27)-1,MONTH($I$27),DAY($I$27)))</f>
        <v>45383</v>
      </c>
      <c r="G56" s="1384"/>
      <c r="H56" s="860">
        <v>0</v>
      </c>
      <c r="I56" s="860"/>
      <c r="J56" s="860">
        <v>0</v>
      </c>
      <c r="K56" s="860"/>
      <c r="L56" s="1380" t="str">
        <f>IF(F56="","",IF(J56&lt;1,"－",ROUND(H56/J56,2)))</f>
        <v>－</v>
      </c>
      <c r="M56" s="1381"/>
      <c r="N56" s="1393"/>
      <c r="O56" s="1394"/>
      <c r="P56" s="1393"/>
      <c r="Q56" s="1393"/>
      <c r="R56" s="464">
        <v>0</v>
      </c>
      <c r="S56" s="860"/>
      <c r="T56" s="860">
        <v>0</v>
      </c>
      <c r="U56" s="860"/>
      <c r="V56" s="1380" t="str">
        <f t="shared" ref="V56:V63" si="1">IF(F56="","",IF(T56&lt;1,"－",ROUND(R56/T56,2)))</f>
        <v>－</v>
      </c>
      <c r="W56" s="1389"/>
      <c r="X56" s="1393"/>
      <c r="Y56" s="1394"/>
      <c r="Z56" s="1221"/>
      <c r="AA56" s="1222"/>
    </row>
    <row r="57" spans="2:27" s="172" customFormat="1" ht="17.25" customHeight="1" x14ac:dyDescent="0.15">
      <c r="B57" s="618"/>
      <c r="C57" s="619"/>
      <c r="D57" s="620"/>
      <c r="E57" s="220" t="str">
        <f>IF(B55="","",B55&amp;F57)</f>
        <v>営業職45017</v>
      </c>
      <c r="F57" s="1384">
        <f>IF(OR($I$27="",B55=""),"",DATE(YEAR($I$27)-2,MONTH($I$27),DAY($I$27)))</f>
        <v>45017</v>
      </c>
      <c r="G57" s="1384"/>
      <c r="H57" s="860">
        <v>3</v>
      </c>
      <c r="I57" s="860"/>
      <c r="J57" s="860">
        <v>1</v>
      </c>
      <c r="K57" s="860"/>
      <c r="L57" s="1380">
        <f t="shared" ref="L57:L62" si="2">IF(F57="","",IF(J57&lt;1,"－",ROUND(H57/J57,2)))</f>
        <v>3</v>
      </c>
      <c r="M57" s="1381"/>
      <c r="N57" s="1393"/>
      <c r="O57" s="1394"/>
      <c r="P57" s="1393"/>
      <c r="Q57" s="1393"/>
      <c r="R57" s="464">
        <v>1</v>
      </c>
      <c r="S57" s="860"/>
      <c r="T57" s="860">
        <v>0</v>
      </c>
      <c r="U57" s="860"/>
      <c r="V57" s="1380" t="str">
        <f t="shared" si="1"/>
        <v>－</v>
      </c>
      <c r="W57" s="1389"/>
      <c r="X57" s="1393"/>
      <c r="Y57" s="1394"/>
      <c r="Z57" s="1391"/>
      <c r="AA57" s="1392"/>
    </row>
    <row r="58" spans="2:27" s="172" customFormat="1" ht="17.25" customHeight="1" x14ac:dyDescent="0.15">
      <c r="B58" s="847" t="s">
        <v>257</v>
      </c>
      <c r="C58" s="847"/>
      <c r="D58" s="847"/>
      <c r="E58" s="220" t="str">
        <f>IF(B58="","",B58&amp;F58)</f>
        <v>技術職45748</v>
      </c>
      <c r="F58" s="1384">
        <f>IF(OR($I$27="",B58=""),"",DATE(YEAR($I$27),MONTH($I$27),DAY($I$27)))</f>
        <v>45748</v>
      </c>
      <c r="G58" s="1384"/>
      <c r="H58" s="860">
        <v>1</v>
      </c>
      <c r="I58" s="860"/>
      <c r="J58" s="860">
        <v>1</v>
      </c>
      <c r="K58" s="860"/>
      <c r="L58" s="1380">
        <f t="shared" si="2"/>
        <v>1</v>
      </c>
      <c r="M58" s="1381"/>
      <c r="N58" s="1387">
        <f>IF(F58="","",IF(OR(J58&lt;1,J59&lt;1,J60&lt;1),"－",ROUND(SUM(L58:M60)/3,2)))</f>
        <v>1.33</v>
      </c>
      <c r="O58" s="1380"/>
      <c r="P58" s="1387">
        <f>IF(F58="","",IF(N58="－",N58,ROUND(N58*0.8,2)))</f>
        <v>1.06</v>
      </c>
      <c r="Q58" s="1387"/>
      <c r="R58" s="464">
        <v>4</v>
      </c>
      <c r="S58" s="860"/>
      <c r="T58" s="860">
        <v>3</v>
      </c>
      <c r="U58" s="860"/>
      <c r="V58" s="1380">
        <f t="shared" si="1"/>
        <v>1.33</v>
      </c>
      <c r="W58" s="1389"/>
      <c r="X58" s="1387">
        <f>IF(F58="","",IF(OR(T58&lt;1,T59&lt;1,T60&lt;1),"－",ROUND(SUM(V58:W60)/3,2)))</f>
        <v>1.44</v>
      </c>
      <c r="Y58" s="1380"/>
      <c r="Z58" s="1231" t="str">
        <f>IF(B58="","",IF(OR(P58="－",X58="－"),"比較不能",IF(P58&lt;X58,"Ｃ＜Ｂ","Ｃ≧Ｂ")))</f>
        <v>Ｃ＜Ｂ</v>
      </c>
      <c r="AA58" s="1232"/>
    </row>
    <row r="59" spans="2:27" s="172" customFormat="1" ht="17.25" customHeight="1" x14ac:dyDescent="0.15">
      <c r="B59" s="847"/>
      <c r="C59" s="847"/>
      <c r="D59" s="847"/>
      <c r="E59" s="220" t="str">
        <f>IF(B58="","",B58&amp;F59)</f>
        <v>技術職45383</v>
      </c>
      <c r="F59" s="1384">
        <f>IF(OR($I$27="",B58=""),"",DATE(YEAR($I$27)-1,MONTH($I$27),DAY($I$27)))</f>
        <v>45383</v>
      </c>
      <c r="G59" s="1384"/>
      <c r="H59" s="860">
        <v>1</v>
      </c>
      <c r="I59" s="860"/>
      <c r="J59" s="860">
        <v>1</v>
      </c>
      <c r="K59" s="860"/>
      <c r="L59" s="1380">
        <f t="shared" si="2"/>
        <v>1</v>
      </c>
      <c r="M59" s="1381"/>
      <c r="N59" s="1387"/>
      <c r="O59" s="1380"/>
      <c r="P59" s="1387"/>
      <c r="Q59" s="1387"/>
      <c r="R59" s="464">
        <v>2</v>
      </c>
      <c r="S59" s="860"/>
      <c r="T59" s="860">
        <v>1</v>
      </c>
      <c r="U59" s="860"/>
      <c r="V59" s="1380">
        <f t="shared" si="1"/>
        <v>2</v>
      </c>
      <c r="W59" s="1389"/>
      <c r="X59" s="1387"/>
      <c r="Y59" s="1380"/>
      <c r="Z59" s="1221"/>
      <c r="AA59" s="1222"/>
    </row>
    <row r="60" spans="2:27" s="172" customFormat="1" ht="17.25" customHeight="1" x14ac:dyDescent="0.15">
      <c r="B60" s="847"/>
      <c r="C60" s="847"/>
      <c r="D60" s="847"/>
      <c r="E60" s="220" t="str">
        <f>IF(B58="","",B58&amp;F60)</f>
        <v>技術職45017</v>
      </c>
      <c r="F60" s="1384">
        <f>IF(OR($I$27="",B58=""),"",DATE(YEAR($I$27)-2,MONTH($I$27),DAY($I$27)))</f>
        <v>45017</v>
      </c>
      <c r="G60" s="1384"/>
      <c r="H60" s="860">
        <v>2</v>
      </c>
      <c r="I60" s="860"/>
      <c r="J60" s="860">
        <v>1</v>
      </c>
      <c r="K60" s="860"/>
      <c r="L60" s="1380">
        <f t="shared" si="2"/>
        <v>2</v>
      </c>
      <c r="M60" s="1381"/>
      <c r="N60" s="1387"/>
      <c r="O60" s="1380"/>
      <c r="P60" s="1387"/>
      <c r="Q60" s="1387"/>
      <c r="R60" s="464">
        <v>1</v>
      </c>
      <c r="S60" s="860"/>
      <c r="T60" s="860">
        <v>1</v>
      </c>
      <c r="U60" s="860"/>
      <c r="V60" s="1380">
        <f t="shared" si="1"/>
        <v>1</v>
      </c>
      <c r="W60" s="1389"/>
      <c r="X60" s="1387"/>
      <c r="Y60" s="1380"/>
      <c r="Z60" s="1391"/>
      <c r="AA60" s="1392"/>
    </row>
    <row r="61" spans="2:27" s="172" customFormat="1" ht="17.25" customHeight="1" x14ac:dyDescent="0.15">
      <c r="B61" s="846" t="s">
        <v>266</v>
      </c>
      <c r="C61" s="846"/>
      <c r="D61" s="846"/>
      <c r="E61" s="220" t="str">
        <f>IF(B61="","",B61&amp;F61)</f>
        <v>パート技術職45748</v>
      </c>
      <c r="F61" s="1384">
        <f>IF(OR($I$27="",B61=""),"",DATE(YEAR($I$27),MONTH($I$27),DAY($I$27)))</f>
        <v>45748</v>
      </c>
      <c r="G61" s="1384"/>
      <c r="H61" s="849">
        <v>4</v>
      </c>
      <c r="I61" s="849"/>
      <c r="J61" s="849">
        <v>1</v>
      </c>
      <c r="K61" s="849"/>
      <c r="L61" s="1380">
        <f t="shared" si="2"/>
        <v>4</v>
      </c>
      <c r="M61" s="1381"/>
      <c r="N61" s="1387">
        <f>IF(F61="","",IF(OR(J61&lt;1,J62&lt;1,J63&lt;1),"－",ROUND(SUM(L61:M63)/3,2)))</f>
        <v>2.67</v>
      </c>
      <c r="O61" s="1380"/>
      <c r="P61" s="1387">
        <f>IF(F61="","",IF(N61="－",N61,ROUND(N61*0.8,2)))</f>
        <v>2.14</v>
      </c>
      <c r="Q61" s="1387"/>
      <c r="R61" s="705">
        <v>0</v>
      </c>
      <c r="S61" s="849"/>
      <c r="T61" s="849">
        <v>0</v>
      </c>
      <c r="U61" s="849"/>
      <c r="V61" s="1380" t="str">
        <f t="shared" si="1"/>
        <v>－</v>
      </c>
      <c r="W61" s="1389"/>
      <c r="X61" s="1387" t="str">
        <f>IF(F61="","",IF(OR(T61&lt;1,T62&lt;1,T63&lt;1),"－",ROUND(SUM(V61:W63)/3,2)))</f>
        <v>－</v>
      </c>
      <c r="Y61" s="1380"/>
      <c r="Z61" s="1231" t="str">
        <f>IF(B61="","",IF(OR(P61="－",X61="－"),"比較不能",IF(P61&lt;X61,"Ｃ＜Ｂ","Ｃ≧Ｂ")))</f>
        <v>比較不能</v>
      </c>
      <c r="AA61" s="1232"/>
    </row>
    <row r="62" spans="2:27" s="172" customFormat="1" ht="17.25" customHeight="1" x14ac:dyDescent="0.15">
      <c r="B62" s="847"/>
      <c r="C62" s="847"/>
      <c r="D62" s="847"/>
      <c r="E62" s="220" t="str">
        <f>IF(B61="","",B61&amp;F62)</f>
        <v>パート技術職45383</v>
      </c>
      <c r="F62" s="1384">
        <f>IF(OR($I$27="",B61=""),"",DATE(YEAR($I$27)-1,MONTH($I$27),DAY($I$27)))</f>
        <v>45383</v>
      </c>
      <c r="G62" s="1384"/>
      <c r="H62" s="860">
        <v>2</v>
      </c>
      <c r="I62" s="860"/>
      <c r="J62" s="860">
        <v>1</v>
      </c>
      <c r="K62" s="860"/>
      <c r="L62" s="1380">
        <f t="shared" si="2"/>
        <v>2</v>
      </c>
      <c r="M62" s="1381"/>
      <c r="N62" s="1387"/>
      <c r="O62" s="1380"/>
      <c r="P62" s="1387"/>
      <c r="Q62" s="1387"/>
      <c r="R62" s="464">
        <v>0</v>
      </c>
      <c r="S62" s="860"/>
      <c r="T62" s="860">
        <v>0</v>
      </c>
      <c r="U62" s="860"/>
      <c r="V62" s="1380" t="str">
        <f t="shared" si="1"/>
        <v>－</v>
      </c>
      <c r="W62" s="1389"/>
      <c r="X62" s="1387"/>
      <c r="Y62" s="1380"/>
      <c r="Z62" s="1221"/>
      <c r="AA62" s="1222"/>
    </row>
    <row r="63" spans="2:27" s="172" customFormat="1" ht="17.25" customHeight="1" thickBot="1" x14ac:dyDescent="0.2">
      <c r="B63" s="847"/>
      <c r="C63" s="847"/>
      <c r="D63" s="847"/>
      <c r="E63" s="221" t="str">
        <f>IF(B61="","",B61&amp;F63)</f>
        <v>パート技術職45017</v>
      </c>
      <c r="F63" s="1384">
        <f>IF(OR($I$27="",B61=""),"",DATE(YEAR($I$27)-2,MONTH($I$27),DAY($I$27)))</f>
        <v>45017</v>
      </c>
      <c r="G63" s="1384"/>
      <c r="H63" s="861">
        <v>2</v>
      </c>
      <c r="I63" s="861"/>
      <c r="J63" s="861">
        <v>1</v>
      </c>
      <c r="K63" s="861"/>
      <c r="L63" s="1385">
        <f>IF(F63="","",IF(J63&lt;1,"－",ROUND(H63/J63,2)))</f>
        <v>2</v>
      </c>
      <c r="M63" s="1386"/>
      <c r="N63" s="1388"/>
      <c r="O63" s="1385"/>
      <c r="P63" s="1388"/>
      <c r="Q63" s="1388"/>
      <c r="R63" s="863">
        <v>1</v>
      </c>
      <c r="S63" s="861"/>
      <c r="T63" s="861">
        <v>1</v>
      </c>
      <c r="U63" s="861"/>
      <c r="V63" s="1385">
        <f t="shared" si="1"/>
        <v>1</v>
      </c>
      <c r="W63" s="1390"/>
      <c r="X63" s="1388"/>
      <c r="Y63" s="1385"/>
      <c r="Z63" s="1221"/>
      <c r="AA63" s="1222"/>
    </row>
    <row r="64" spans="2:27" ht="27" customHeight="1" thickTop="1" thickBot="1" x14ac:dyDescent="0.2">
      <c r="C64" s="172"/>
      <c r="D64" s="172"/>
      <c r="E64" s="172"/>
      <c r="F64" s="1287" t="s">
        <v>194</v>
      </c>
      <c r="G64" s="1288"/>
      <c r="H64" s="1288"/>
      <c r="I64" s="1288"/>
      <c r="J64" s="1288"/>
      <c r="K64" s="1288"/>
      <c r="L64" s="1288"/>
      <c r="M64" s="1288"/>
      <c r="N64" s="1288"/>
      <c r="O64" s="1288"/>
      <c r="P64" s="1288"/>
      <c r="Q64" s="1288"/>
      <c r="R64" s="1288"/>
      <c r="S64" s="1288"/>
      <c r="T64" s="1288"/>
      <c r="U64" s="1288"/>
      <c r="V64" s="1288"/>
      <c r="W64" s="1288"/>
      <c r="X64" s="751" t="s">
        <v>267</v>
      </c>
      <c r="Y64" s="751"/>
      <c r="Z64" s="751"/>
      <c r="AA64" s="752"/>
    </row>
    <row r="65" spans="2:27" ht="17.25" customHeight="1" thickTop="1" x14ac:dyDescent="0.15">
      <c r="AA65" s="165" t="str">
        <f>IF(G23="","",IF(X64="","リストから選択↑　",""))</f>
        <v/>
      </c>
    </row>
    <row r="66" spans="2:27" ht="16.5" customHeight="1" x14ac:dyDescent="0.15">
      <c r="B66" s="1078" t="s">
        <v>207</v>
      </c>
      <c r="C66" s="1078"/>
      <c r="D66" s="1078"/>
      <c r="E66" s="1078"/>
      <c r="F66" s="1078"/>
      <c r="G66" s="1078"/>
      <c r="H66" s="1078"/>
      <c r="I66" s="1078"/>
      <c r="J66" s="1078"/>
      <c r="K66" s="1078"/>
      <c r="L66" s="1078"/>
      <c r="M66" s="1078"/>
      <c r="N66" s="1078"/>
      <c r="O66" s="1078"/>
      <c r="P66" s="1078"/>
      <c r="Q66" s="1078"/>
      <c r="R66" s="1078"/>
      <c r="S66" s="1078"/>
      <c r="T66" s="1078"/>
      <c r="U66" s="1078"/>
      <c r="V66" s="1078"/>
      <c r="W66" s="1078"/>
      <c r="X66" s="1078"/>
      <c r="Y66" s="1078"/>
      <c r="Z66" s="1078"/>
      <c r="AA66" s="1078"/>
    </row>
    <row r="67" spans="2:27" ht="27.75" customHeight="1" x14ac:dyDescent="0.15">
      <c r="B67" s="222"/>
      <c r="C67" s="1078" t="s">
        <v>241</v>
      </c>
      <c r="D67" s="1078"/>
      <c r="E67" s="1078"/>
      <c r="F67" s="1078"/>
      <c r="G67" s="1078"/>
      <c r="H67" s="1078"/>
      <c r="I67" s="1078"/>
      <c r="J67" s="1078"/>
      <c r="K67" s="1078"/>
      <c r="L67" s="1078"/>
      <c r="M67" s="1078"/>
      <c r="N67" s="1078"/>
      <c r="O67" s="1078"/>
      <c r="P67" s="1078"/>
      <c r="Q67" s="1078"/>
      <c r="R67" s="1078"/>
      <c r="S67" s="1078"/>
      <c r="T67" s="1078"/>
      <c r="U67" s="1078"/>
      <c r="V67" s="1078"/>
      <c r="W67" s="1078"/>
      <c r="X67" s="1078"/>
      <c r="Y67" s="1078"/>
      <c r="Z67" s="1078"/>
      <c r="AA67" s="1078"/>
    </row>
    <row r="68" spans="2:27" ht="17.25" customHeight="1" x14ac:dyDescent="0.15">
      <c r="H68" s="1137" t="s">
        <v>40</v>
      </c>
      <c r="I68" s="1138"/>
      <c r="J68" s="1138"/>
      <c r="K68" s="1139"/>
      <c r="L68" s="1137" t="s">
        <v>41</v>
      </c>
      <c r="M68" s="1138"/>
      <c r="N68" s="1138"/>
      <c r="O68" s="1139"/>
      <c r="P68" s="1260" t="s">
        <v>63</v>
      </c>
      <c r="Q68" s="1261"/>
      <c r="R68" s="1261"/>
      <c r="S68" s="1261"/>
      <c r="T68" s="1261"/>
      <c r="U68" s="1261"/>
      <c r="V68" s="1261"/>
      <c r="W68" s="1261"/>
      <c r="X68" s="1261"/>
      <c r="Y68" s="1325"/>
      <c r="Z68" s="165"/>
    </row>
    <row r="69" spans="2:27" ht="47.25" customHeight="1" x14ac:dyDescent="0.15">
      <c r="B69" s="1254" t="s">
        <v>0</v>
      </c>
      <c r="C69" s="1255"/>
      <c r="D69" s="1322"/>
      <c r="E69" s="223"/>
      <c r="F69" s="1254" t="s">
        <v>1</v>
      </c>
      <c r="G69" s="1322"/>
      <c r="H69" s="1088" t="s">
        <v>2</v>
      </c>
      <c r="I69" s="1090"/>
      <c r="J69" s="1088" t="s">
        <v>3</v>
      </c>
      <c r="K69" s="1090"/>
      <c r="L69" s="1088" t="s">
        <v>2</v>
      </c>
      <c r="M69" s="1090"/>
      <c r="N69" s="1088" t="s">
        <v>3</v>
      </c>
      <c r="O69" s="1090"/>
      <c r="P69" s="224"/>
      <c r="Q69" s="225"/>
      <c r="R69" s="225"/>
      <c r="S69" s="226"/>
      <c r="T69" s="1085" t="s">
        <v>61</v>
      </c>
      <c r="U69" s="1090"/>
      <c r="V69" s="1085" t="s">
        <v>62</v>
      </c>
      <c r="W69" s="1090"/>
      <c r="X69" s="1085" t="s">
        <v>167</v>
      </c>
      <c r="Y69" s="1087"/>
      <c r="Z69" s="165"/>
    </row>
    <row r="70" spans="2:27" s="172" customFormat="1" ht="17.25" customHeight="1" x14ac:dyDescent="0.15">
      <c r="B70" s="553" t="s">
        <v>265</v>
      </c>
      <c r="C70" s="554"/>
      <c r="D70" s="555"/>
      <c r="E70" s="227" t="str">
        <f>IF(B70="","",B70&amp;F70)</f>
        <v>営業職45748</v>
      </c>
      <c r="F70" s="1128">
        <f>IF(AND($X$64="非該当",$B70&lt;&gt;""),DATE(YEAR($I$27),MONTH($I$27),DAY($I$27)),"")</f>
        <v>45748</v>
      </c>
      <c r="G70" s="1130"/>
      <c r="H70" s="1044">
        <f>IF($B70="","",VLOOKUP($E70,$E$55:$U$63,4,FALSE))</f>
        <v>0</v>
      </c>
      <c r="I70" s="1045"/>
      <c r="J70" s="1044">
        <f>IF($B70="","",VLOOKUP($E70,$E$55:$U$63,6,FALSE))</f>
        <v>0</v>
      </c>
      <c r="K70" s="1045"/>
      <c r="L70" s="1044">
        <f>IF($B70="","",VLOOKUP($E70,$E$55:$U$63,14,FALSE))</f>
        <v>0</v>
      </c>
      <c r="M70" s="1045"/>
      <c r="N70" s="1044">
        <f>IF($B70="","",VLOOKUP($E70,$E$55:$U$63,16,FALSE))</f>
        <v>0</v>
      </c>
      <c r="O70" s="1045"/>
      <c r="P70" s="1311" t="str">
        <f>IF(B70="","～",P$16&amp;"～"&amp;Q$18)</f>
        <v>令和7～5年</v>
      </c>
      <c r="Q70" s="1312"/>
      <c r="R70" s="1312"/>
      <c r="S70" s="1313"/>
      <c r="T70" s="1380" t="str">
        <f>IF(B70="","",IF(OR(J70&lt;1,J71&lt;1,J72&lt;1),"－",ROUND((ROUND(H70/J70,2)+ROUND(H71/J71,2)+ROUND(H72/J72,2))/3,2)))</f>
        <v>－</v>
      </c>
      <c r="U70" s="1381"/>
      <c r="V70" s="1380" t="str">
        <f>IF(B70="","",IF(OR(N70&lt;1,N71&lt;1,N72&lt;1),"－",ROUND((ROUND(L70/N70,2)+ROUND(L71/N71,2)+ROUND(L72/N72,2))/3,2)))</f>
        <v>－</v>
      </c>
      <c r="W70" s="1381"/>
      <c r="X70" s="1382" t="str">
        <f>IF(B70="","",IF(OR(T70="－",V70="－"),"－",ROUND(T70/V70,2)))</f>
        <v>－</v>
      </c>
      <c r="Y70" s="1383"/>
      <c r="Z70" s="180"/>
    </row>
    <row r="71" spans="2:27" s="172" customFormat="1" ht="17.25" customHeight="1" x14ac:dyDescent="0.15">
      <c r="B71" s="564"/>
      <c r="C71" s="1068"/>
      <c r="D71" s="565"/>
      <c r="E71" s="228" t="str">
        <f>IF(B70="","",B70&amp;F71)</f>
        <v>営業職45383</v>
      </c>
      <c r="F71" s="1128">
        <f>IF(AND($X$64="非該当",$B70&lt;&gt;""),DATE(YEAR($I$27)-1,MONTH($I$27),DAY($I$27)),"")</f>
        <v>45383</v>
      </c>
      <c r="G71" s="1130"/>
      <c r="H71" s="1044">
        <f>IF($B70="","",VLOOKUP($E71,$E$55:$U$63,4,FALSE))</f>
        <v>0</v>
      </c>
      <c r="I71" s="1045"/>
      <c r="J71" s="1044">
        <f>IF($B70="","",VLOOKUP($E71,$E$55:$U$63,6,FALSE))</f>
        <v>0</v>
      </c>
      <c r="K71" s="1045"/>
      <c r="L71" s="1044">
        <f>IF($B70="","",VLOOKUP($E71,$E$55:$U$63,14,FALSE))</f>
        <v>0</v>
      </c>
      <c r="M71" s="1045"/>
      <c r="N71" s="1044">
        <f>IF($B70="","",VLOOKUP($E71,$E$55:$U$63,16,FALSE))</f>
        <v>0</v>
      </c>
      <c r="O71" s="1045"/>
      <c r="P71" s="1311" t="str">
        <f>IF(B70="","～",P$17&amp;"～"&amp;Q$19)</f>
        <v>令和6～4年</v>
      </c>
      <c r="Q71" s="1312"/>
      <c r="R71" s="1312"/>
      <c r="S71" s="1313"/>
      <c r="T71" s="1380" t="str">
        <f>IF(B70="","",IF(OR(J71&lt;1,J72&lt;1,J73&lt;1),"－",ROUND((ROUND(H71/J71,2)+ROUND(H72/J72,2)+ROUND(H73/J73,2))/3,2)))</f>
        <v>－</v>
      </c>
      <c r="U71" s="1381"/>
      <c r="V71" s="1380" t="str">
        <f>IF(B70="","",IF(OR(N71&lt;1,N72&lt;1,N73&lt;1),"－",ROUND((ROUND(L71/N71,2)+ROUND(L72/N72,2)+ROUND(L73/N73,2))/3,2)))</f>
        <v>－</v>
      </c>
      <c r="W71" s="1381"/>
      <c r="X71" s="1382" t="str">
        <f>IF(B70="","",IF(OR(T71="－",V71="－"),"－",ROUND(T71/V71,2)))</f>
        <v>－</v>
      </c>
      <c r="Y71" s="1383"/>
      <c r="Z71" s="180"/>
    </row>
    <row r="72" spans="2:27" s="172" customFormat="1" ht="17.25" customHeight="1" x14ac:dyDescent="0.15">
      <c r="B72" s="564"/>
      <c r="C72" s="1068"/>
      <c r="D72" s="565"/>
      <c r="E72" s="228" t="str">
        <f>IF(B70="","",B70&amp;F72)</f>
        <v>営業職45017</v>
      </c>
      <c r="F72" s="1128">
        <f>IF(AND($X$64="非該当",$B70&lt;&gt;""),DATE(YEAR($I$27)-2,MONTH($I$27),DAY($I$27)),"")</f>
        <v>45017</v>
      </c>
      <c r="G72" s="1130"/>
      <c r="H72" s="1044">
        <f>IF($B70="","",VLOOKUP($E72,$E$55:$U$63,4,FALSE))</f>
        <v>3</v>
      </c>
      <c r="I72" s="1045"/>
      <c r="J72" s="1044">
        <f>IF($B70="","",VLOOKUP($E72,$E$55:$U$63,6,FALSE))</f>
        <v>1</v>
      </c>
      <c r="K72" s="1045"/>
      <c r="L72" s="1044">
        <f>IF($B70="","",VLOOKUP($E72,$E$55:$U$63,14,FALSE))</f>
        <v>1</v>
      </c>
      <c r="M72" s="1045"/>
      <c r="N72" s="1044">
        <f>IF($B70="","",VLOOKUP($E72,$E$55:$U$63,16,FALSE))</f>
        <v>0</v>
      </c>
      <c r="O72" s="1045"/>
      <c r="P72" s="1311" t="str">
        <f>IF(B70="","～",P$18&amp;"～"&amp;Q$20)</f>
        <v>令和5～3年</v>
      </c>
      <c r="Q72" s="1312"/>
      <c r="R72" s="1312"/>
      <c r="S72" s="1313"/>
      <c r="T72" s="1380" t="str">
        <f>IF(B70="","",IF(OR(J72&lt;1,J73&lt;1,J74&lt;1),"－",ROUND((ROUND(H72/J72,2)+ROUND(H73/J73,2)+ROUND(H74/J74,2))/3,2)))</f>
        <v>－</v>
      </c>
      <c r="U72" s="1381"/>
      <c r="V72" s="1380" t="str">
        <f>IF(B70="","",IF(OR(N72&lt;1,N73&lt;1,N74&lt;1),"－",ROUND((ROUND(L72/N72,2)+ROUND(L73/N73,2)+ROUND(L74/N74,2))/3,2)))</f>
        <v>－</v>
      </c>
      <c r="W72" s="1381"/>
      <c r="X72" s="1382" t="str">
        <f>IF(B70="","",IF(OR(T72="－",V72="－"),"－",ROUND(T72/V72,2)))</f>
        <v>－</v>
      </c>
      <c r="Y72" s="1383"/>
      <c r="Z72" s="180"/>
    </row>
    <row r="73" spans="2:27" s="172" customFormat="1" ht="17.25" customHeight="1" x14ac:dyDescent="0.15">
      <c r="B73" s="564"/>
      <c r="C73" s="1068"/>
      <c r="D73" s="565"/>
      <c r="E73" s="228"/>
      <c r="F73" s="1128">
        <f>IF(AND($X$64="非該当",$B70&lt;&gt;""),DATE(YEAR($I$27)-3,MONTH($I$27),DAY($I$27)),"")</f>
        <v>44652</v>
      </c>
      <c r="G73" s="1130"/>
      <c r="H73" s="318">
        <v>0</v>
      </c>
      <c r="I73" s="319"/>
      <c r="J73" s="318">
        <v>0</v>
      </c>
      <c r="K73" s="319"/>
      <c r="L73" s="318">
        <v>0</v>
      </c>
      <c r="M73" s="319"/>
      <c r="N73" s="318">
        <v>0</v>
      </c>
      <c r="O73" s="319"/>
      <c r="P73" s="174"/>
      <c r="Q73" s="229"/>
      <c r="R73" s="229"/>
      <c r="S73" s="229"/>
      <c r="T73" s="229"/>
      <c r="U73" s="229"/>
      <c r="V73" s="229"/>
      <c r="W73" s="229"/>
      <c r="X73" s="229"/>
      <c r="Y73" s="175"/>
      <c r="Z73" s="180"/>
    </row>
    <row r="74" spans="2:27" s="172" customFormat="1" ht="17.25" customHeight="1" x14ac:dyDescent="0.15">
      <c r="B74" s="566"/>
      <c r="C74" s="567"/>
      <c r="D74" s="568"/>
      <c r="E74" s="230"/>
      <c r="F74" s="1128">
        <f>IF(AND($X$64="非該当",$B70&lt;&gt;""),DATE(YEAR($I$27)-4,MONTH($I$27),DAY($I$27)),"")</f>
        <v>44287</v>
      </c>
      <c r="G74" s="1130"/>
      <c r="H74" s="318">
        <v>0</v>
      </c>
      <c r="I74" s="319"/>
      <c r="J74" s="318">
        <v>0</v>
      </c>
      <c r="K74" s="319"/>
      <c r="L74" s="318">
        <v>0</v>
      </c>
      <c r="M74" s="319"/>
      <c r="N74" s="318">
        <v>0</v>
      </c>
      <c r="O74" s="319"/>
      <c r="P74" s="184"/>
      <c r="Q74" s="231"/>
      <c r="R74" s="231"/>
      <c r="S74" s="231"/>
      <c r="T74" s="231"/>
      <c r="U74" s="231"/>
      <c r="V74" s="231"/>
      <c r="W74" s="231"/>
      <c r="X74" s="231"/>
      <c r="Y74" s="187"/>
      <c r="Z74" s="180"/>
    </row>
    <row r="75" spans="2:27" s="172" customFormat="1" ht="17.25" customHeight="1" x14ac:dyDescent="0.15">
      <c r="B75" s="553" t="s">
        <v>266</v>
      </c>
      <c r="C75" s="554"/>
      <c r="D75" s="555"/>
      <c r="E75" s="227" t="str">
        <f>IF(B75="","",B75&amp;F75)</f>
        <v>パート技術職45748</v>
      </c>
      <c r="F75" s="1128">
        <f>IF(AND($X$64="非該当",$B75&lt;&gt;""),DATE(YEAR($I$27),MONTH($I$27),DAY($I$27)),"")</f>
        <v>45748</v>
      </c>
      <c r="G75" s="1130"/>
      <c r="H75" s="1044">
        <f>IF($B75="","",VLOOKUP($E75,$E$55:$U$63,4,FALSE))</f>
        <v>4</v>
      </c>
      <c r="I75" s="1045"/>
      <c r="J75" s="1044">
        <f>IF($B75="","",VLOOKUP($E75,$E$55:$U$63,6,FALSE))</f>
        <v>1</v>
      </c>
      <c r="K75" s="1045"/>
      <c r="L75" s="1044">
        <f>IF($B75="","",VLOOKUP($E75,$E$55:$U$63,14,FALSE))</f>
        <v>0</v>
      </c>
      <c r="M75" s="1045"/>
      <c r="N75" s="1044">
        <f>IF($B75="","",VLOOKUP($E75,$E$55:$U$63,16,FALSE))</f>
        <v>0</v>
      </c>
      <c r="O75" s="1045"/>
      <c r="P75" s="1311" t="str">
        <f>IF(B75="","～",P$16&amp;"～"&amp;Q$18)</f>
        <v>令和7～5年</v>
      </c>
      <c r="Q75" s="1312"/>
      <c r="R75" s="1312"/>
      <c r="S75" s="1313"/>
      <c r="T75" s="1380">
        <f>IF(B75="","",IF(OR(J75&lt;1,J76&lt;1,J77&lt;1),"－",ROUND((ROUND(H75/J75,2)+ROUND(H76/J76,2)+ROUND(H77/J77,2))/3,2)))</f>
        <v>2.67</v>
      </c>
      <c r="U75" s="1381"/>
      <c r="V75" s="1380" t="str">
        <f>IF(B75="","",IF(OR(N75&lt;1,N76&lt;1,N77&lt;1),"－",ROUND((ROUND(L75/N75,2)+ROUND(L76/N76,2)+ROUND(L77/N77,2))/3,2)))</f>
        <v>－</v>
      </c>
      <c r="W75" s="1381"/>
      <c r="X75" s="1382" t="str">
        <f>IF(B75="","",IF(OR(T75="－",V75="－"),"－",ROUND(T75/V75,2)))</f>
        <v>－</v>
      </c>
      <c r="Y75" s="1383"/>
      <c r="Z75" s="165"/>
    </row>
    <row r="76" spans="2:27" s="172" customFormat="1" ht="17.25" customHeight="1" x14ac:dyDescent="0.15">
      <c r="B76" s="564"/>
      <c r="C76" s="1068"/>
      <c r="D76" s="565"/>
      <c r="E76" s="228" t="str">
        <f>IF(B75="","",B75&amp;F76)</f>
        <v>パート技術職45383</v>
      </c>
      <c r="F76" s="1128">
        <f>IF(AND($X$64="非該当",$B75&lt;&gt;""),DATE(YEAR($I$27)-1,MONTH($I$27),DAY($I$27)),"")</f>
        <v>45383</v>
      </c>
      <c r="G76" s="1130"/>
      <c r="H76" s="1044">
        <f>IF($B75="","",VLOOKUP($E76,$E$55:$U$63,4,FALSE))</f>
        <v>2</v>
      </c>
      <c r="I76" s="1045"/>
      <c r="J76" s="1044">
        <f>IF($B75="","",VLOOKUP($E76,$E$55:$U$63,6,FALSE))</f>
        <v>1</v>
      </c>
      <c r="K76" s="1045"/>
      <c r="L76" s="1044">
        <f>IF($B75="","",VLOOKUP($E76,$E$55:$U$63,14,FALSE))</f>
        <v>0</v>
      </c>
      <c r="M76" s="1045"/>
      <c r="N76" s="1044">
        <f>IF($B75="","",VLOOKUP($E76,$E$55:$U$63,16,FALSE))</f>
        <v>0</v>
      </c>
      <c r="O76" s="1045"/>
      <c r="P76" s="1311" t="str">
        <f>IF(B75="","～",P$17&amp;"～"&amp;Q$19)</f>
        <v>令和6～4年</v>
      </c>
      <c r="Q76" s="1312"/>
      <c r="R76" s="1312"/>
      <c r="S76" s="1313"/>
      <c r="T76" s="1380">
        <f>IF(B75="","",IF(OR(J76&lt;1,J77&lt;1,J78&lt;1),"－",ROUND((ROUND(H76/J76,2)+ROUND(H77/J77,2)+ROUND(H78/J78,2))/3,2)))</f>
        <v>2.33</v>
      </c>
      <c r="U76" s="1381"/>
      <c r="V76" s="1380" t="str">
        <f>IF(B75="","",IF(OR(N76&lt;1,N77&lt;1,N78&lt;1),"－",ROUND((ROUND(L76/N76,2)+ROUND(L77/N77,2)+ROUND(L78/N78,2))/3,2)))</f>
        <v>－</v>
      </c>
      <c r="W76" s="1381"/>
      <c r="X76" s="1382" t="str">
        <f>IF(B75="","",IF(OR(T76="－",V76="－"),"－",ROUND(T76/V76,2)))</f>
        <v>－</v>
      </c>
      <c r="Y76" s="1383"/>
      <c r="Z76" s="165"/>
    </row>
    <row r="77" spans="2:27" s="172" customFormat="1" ht="17.25" customHeight="1" x14ac:dyDescent="0.15">
      <c r="B77" s="564"/>
      <c r="C77" s="1068"/>
      <c r="D77" s="565"/>
      <c r="E77" s="228" t="str">
        <f>IF(B75="","",B75&amp;F77)</f>
        <v>パート技術職45017</v>
      </c>
      <c r="F77" s="1128">
        <f>IF(AND($X$64="非該当",$B75&lt;&gt;""),DATE(YEAR($I$27)-2,MONTH($I$27),DAY($I$27)),"")</f>
        <v>45017</v>
      </c>
      <c r="G77" s="1130"/>
      <c r="H77" s="1044">
        <f>IF($B75="","",VLOOKUP($E77,$E$55:$U$63,4,FALSE))</f>
        <v>2</v>
      </c>
      <c r="I77" s="1045"/>
      <c r="J77" s="1044">
        <f>IF($B75="","",VLOOKUP($E77,$E$55:$U$63,6,FALSE))</f>
        <v>1</v>
      </c>
      <c r="K77" s="1045"/>
      <c r="L77" s="1044">
        <f>IF($B75="","",VLOOKUP($E77,$E$55:$U$63,14,FALSE))</f>
        <v>1</v>
      </c>
      <c r="M77" s="1045"/>
      <c r="N77" s="1044">
        <f>IF($B75="","",VLOOKUP($E77,$E$55:$U$63,16,FALSE))</f>
        <v>1</v>
      </c>
      <c r="O77" s="1045"/>
      <c r="P77" s="1311" t="str">
        <f>IF(B75="","～",P$18&amp;"～"&amp;Q$20)</f>
        <v>令和5～3年</v>
      </c>
      <c r="Q77" s="1312"/>
      <c r="R77" s="1312"/>
      <c r="S77" s="1313"/>
      <c r="T77" s="1380">
        <f>IF(B75="","",IF(OR(J77&lt;1,J78&lt;1,J79&lt;1),"－",ROUND((ROUND(H77/J77,2)+ROUND(H78/J78,2)+ROUND(H79/J79,2))/3,2)))</f>
        <v>2</v>
      </c>
      <c r="U77" s="1381"/>
      <c r="V77" s="1380" t="str">
        <f>IF(B75="","",IF(OR(N77&lt;1,N78&lt;1,N79&lt;1),"－",ROUND((ROUND(L77/N77,2)+ROUND(L78/N78,2)+ROUND(L79/N79,2))/3,2)))</f>
        <v>－</v>
      </c>
      <c r="W77" s="1381"/>
      <c r="X77" s="1382" t="str">
        <f>IF(B75="","",IF(OR(T77="－",V77="－"),"－",ROUND(T77/V77,2)))</f>
        <v>－</v>
      </c>
      <c r="Y77" s="1383"/>
      <c r="Z77" s="165"/>
    </row>
    <row r="78" spans="2:27" s="172" customFormat="1" ht="17.25" customHeight="1" x14ac:dyDescent="0.15">
      <c r="B78" s="564"/>
      <c r="C78" s="1068"/>
      <c r="D78" s="565"/>
      <c r="E78" s="228"/>
      <c r="F78" s="1128">
        <f>IF(AND($X$64="非該当",$B75&lt;&gt;""),DATE(YEAR($I$27)-3,MONTH($I$27),DAY($I$27)),"")</f>
        <v>44652</v>
      </c>
      <c r="G78" s="1130"/>
      <c r="H78" s="318">
        <v>3</v>
      </c>
      <c r="I78" s="319"/>
      <c r="J78" s="318">
        <v>1</v>
      </c>
      <c r="K78" s="319"/>
      <c r="L78" s="318">
        <v>0</v>
      </c>
      <c r="M78" s="319"/>
      <c r="N78" s="318">
        <v>0</v>
      </c>
      <c r="O78" s="319"/>
      <c r="P78" s="174"/>
      <c r="Q78" s="229"/>
      <c r="R78" s="229"/>
      <c r="S78" s="229"/>
      <c r="T78" s="229"/>
      <c r="U78" s="229"/>
      <c r="V78" s="229"/>
      <c r="W78" s="229"/>
      <c r="X78" s="229"/>
      <c r="Y78" s="175"/>
      <c r="Z78" s="165"/>
    </row>
    <row r="79" spans="2:27" s="172" customFormat="1" ht="17.25" customHeight="1" x14ac:dyDescent="0.15">
      <c r="B79" s="566"/>
      <c r="C79" s="567"/>
      <c r="D79" s="568"/>
      <c r="E79" s="230"/>
      <c r="F79" s="1128">
        <f>IF(AND($X$64="非該当",$B75&lt;&gt;""),DATE(YEAR($I$27)-4,MONTH($I$27),DAY($I$27)),"")</f>
        <v>44287</v>
      </c>
      <c r="G79" s="1130"/>
      <c r="H79" s="579">
        <v>2</v>
      </c>
      <c r="I79" s="844"/>
      <c r="J79" s="579">
        <v>2</v>
      </c>
      <c r="K79" s="844"/>
      <c r="L79" s="579">
        <v>1</v>
      </c>
      <c r="M79" s="844"/>
      <c r="N79" s="579">
        <v>1</v>
      </c>
      <c r="O79" s="844"/>
      <c r="P79" s="184"/>
      <c r="Q79" s="231"/>
      <c r="R79" s="231"/>
      <c r="S79" s="231"/>
      <c r="T79" s="231"/>
      <c r="U79" s="231"/>
      <c r="V79" s="231"/>
      <c r="W79" s="231"/>
      <c r="X79" s="231"/>
      <c r="Y79" s="187"/>
      <c r="Z79" s="165"/>
    </row>
    <row r="80" spans="2:27" s="172" customFormat="1" ht="17.25" customHeight="1" x14ac:dyDescent="0.15">
      <c r="B80" s="553"/>
      <c r="C80" s="554"/>
      <c r="D80" s="555"/>
      <c r="E80" s="227" t="str">
        <f>IF(B80="","",B80&amp;F80)</f>
        <v/>
      </c>
      <c r="F80" s="1128" t="str">
        <f>IF(AND($X$64="非該当",$B80&lt;&gt;""),DATE(YEAR($I$27),MONTH($I$27),DAY($I$27)),"")</f>
        <v/>
      </c>
      <c r="G80" s="1130"/>
      <c r="H80" s="1044" t="str">
        <f>IF($B80="","",VLOOKUP($E80,$E$55:$U$63,4,FALSE))</f>
        <v/>
      </c>
      <c r="I80" s="1045"/>
      <c r="J80" s="1044" t="str">
        <f>IF($B80="","",VLOOKUP($E80,$E$55:$U$63,6,FALSE))</f>
        <v/>
      </c>
      <c r="K80" s="1045"/>
      <c r="L80" s="1044" t="str">
        <f>IF($B80="","",VLOOKUP($E80,$E$55:$U$63,14,FALSE))</f>
        <v/>
      </c>
      <c r="M80" s="1045"/>
      <c r="N80" s="1044" t="str">
        <f>IF($B80="","",VLOOKUP($E80,$E$55:$U$63,16,FALSE))</f>
        <v/>
      </c>
      <c r="O80" s="1045"/>
      <c r="P80" s="1311" t="str">
        <f>IF(B80="","～",P$16&amp;"～"&amp;Q$18)</f>
        <v>～</v>
      </c>
      <c r="Q80" s="1312"/>
      <c r="R80" s="1312"/>
      <c r="S80" s="1313"/>
      <c r="T80" s="1380" t="str">
        <f>IF(B80="","",IF(OR(J80&lt;1,J81&lt;1,J82&lt;1),"－",ROUND((ROUND(H80/J80,2)+ROUND(H81/J81,2)+ROUND(H82/J82,2))/3,2)))</f>
        <v/>
      </c>
      <c r="U80" s="1381"/>
      <c r="V80" s="1380" t="str">
        <f>IF(B80="","",IF(OR(N80&lt;1,N81&lt;1,N82&lt;1),"－",ROUND((ROUND(L80/N80,2)+ROUND(L81/N81,2)+ROUND(L82/N82,2))/3,2)))</f>
        <v/>
      </c>
      <c r="W80" s="1381"/>
      <c r="X80" s="1382" t="str">
        <f>IF(B80="","",IF(OR(T80="－",V80="－"),"－",ROUND(T80/V80,2)))</f>
        <v/>
      </c>
      <c r="Y80" s="1383"/>
      <c r="Z80" s="165"/>
    </row>
    <row r="81" spans="2:28" s="172" customFormat="1" ht="17.25" customHeight="1" x14ac:dyDescent="0.15">
      <c r="B81" s="564"/>
      <c r="C81" s="1068"/>
      <c r="D81" s="565"/>
      <c r="E81" s="228" t="str">
        <f>IF(B80="","",B80&amp;F81)</f>
        <v/>
      </c>
      <c r="F81" s="1128" t="str">
        <f>IF(AND($X$64="非該当",$B80&lt;&gt;""),DATE(YEAR($I$27)-1,MONTH($I$27),DAY($I$27)),"")</f>
        <v/>
      </c>
      <c r="G81" s="1130"/>
      <c r="H81" s="1044" t="str">
        <f>IF($B80="","",VLOOKUP($E81,$E$55:$U$63,4,FALSE))</f>
        <v/>
      </c>
      <c r="I81" s="1045"/>
      <c r="J81" s="1044" t="str">
        <f>IF($B80="","",VLOOKUP($E81,$E$55:$U$63,6,FALSE))</f>
        <v/>
      </c>
      <c r="K81" s="1045"/>
      <c r="L81" s="1044" t="str">
        <f>IF($B80="","",VLOOKUP($E81,$E$55:$U$63,14,FALSE))</f>
        <v/>
      </c>
      <c r="M81" s="1045"/>
      <c r="N81" s="1044" t="str">
        <f>IF($B80="","",VLOOKUP($E81,$E$55:$U$63,16,FALSE))</f>
        <v/>
      </c>
      <c r="O81" s="1045"/>
      <c r="P81" s="1311" t="str">
        <f>IF(B80="","～",P$17&amp;"～"&amp;Q$19)</f>
        <v>～</v>
      </c>
      <c r="Q81" s="1312"/>
      <c r="R81" s="1312"/>
      <c r="S81" s="1313"/>
      <c r="T81" s="1380" t="str">
        <f>IF(B80="","",IF(OR(J81&lt;1,J82&lt;1,J83&lt;1),"－",ROUND((ROUND(H81/J81,2)+ROUND(H82/J82,2)+ROUND(H83/J83,2))/3,2)))</f>
        <v/>
      </c>
      <c r="U81" s="1381"/>
      <c r="V81" s="1380" t="str">
        <f>IF(B80="","",IF(OR(N81&lt;1,N82&lt;1,N83&lt;1),"－",ROUND((ROUND(L81/N81,2)+ROUND(L82/N82,2)+ROUND(L83/N83,2))/3,2)))</f>
        <v/>
      </c>
      <c r="W81" s="1381"/>
      <c r="X81" s="1382" t="str">
        <f>IF(B80="","",IF(OR(T81="－",V81="－"),"－",ROUND(T81/V81,2)))</f>
        <v/>
      </c>
      <c r="Y81" s="1383"/>
      <c r="Z81" s="165"/>
    </row>
    <row r="82" spans="2:28" s="172" customFormat="1" ht="17.25" customHeight="1" x14ac:dyDescent="0.15">
      <c r="B82" s="564"/>
      <c r="C82" s="1068"/>
      <c r="D82" s="565"/>
      <c r="E82" s="228" t="str">
        <f>IF(B80="","",B80&amp;F82)</f>
        <v/>
      </c>
      <c r="F82" s="1128" t="str">
        <f>IF(AND($X$64="非該当",$B80&lt;&gt;""),DATE(YEAR($I$27)-2,MONTH($I$27),DAY($I$27)),"")</f>
        <v/>
      </c>
      <c r="G82" s="1130"/>
      <c r="H82" s="1044" t="str">
        <f>IF($B80="","",VLOOKUP($E82,$E$55:$U$63,4,FALSE))</f>
        <v/>
      </c>
      <c r="I82" s="1045"/>
      <c r="J82" s="1044" t="str">
        <f>IF($B80="","",VLOOKUP($E82,$E$55:$U$63,6,FALSE))</f>
        <v/>
      </c>
      <c r="K82" s="1045"/>
      <c r="L82" s="1044" t="str">
        <f>IF($B80="","",VLOOKUP($E82,$E$55:$U$63,14,FALSE))</f>
        <v/>
      </c>
      <c r="M82" s="1045"/>
      <c r="N82" s="1044" t="str">
        <f>IF($B80="","",VLOOKUP($E82,$E$55:$U$63,16,FALSE))</f>
        <v/>
      </c>
      <c r="O82" s="1045"/>
      <c r="P82" s="1311" t="str">
        <f>IF(B80="","～",P$18&amp;"～"&amp;Q$20)</f>
        <v>～</v>
      </c>
      <c r="Q82" s="1312"/>
      <c r="R82" s="1312"/>
      <c r="S82" s="1313"/>
      <c r="T82" s="1380" t="str">
        <f>IF(B80="","",IF(OR(J82&lt;1,J83&lt;1,J84&lt;1),"－",ROUND((ROUND(H82/J82,2)+ROUND(H83/J83,2)+ROUND(H84/J84,2))/3,2)))</f>
        <v/>
      </c>
      <c r="U82" s="1381"/>
      <c r="V82" s="1380" t="str">
        <f>IF(B80="","",IF(OR(N82&lt;1,N83&lt;1,N84&lt;1),"－",ROUND((ROUND(L82/N82,2)+ROUND(L83/N83,2)+ROUND(L84/N84,2))/3,2)))</f>
        <v/>
      </c>
      <c r="W82" s="1381"/>
      <c r="X82" s="1382" t="str">
        <f>IF(B80="","",IF(OR(T82="－",V82="－"),"－",ROUND(T82/V82,2)))</f>
        <v/>
      </c>
      <c r="Y82" s="1383"/>
      <c r="Z82" s="165"/>
    </row>
    <row r="83" spans="2:28" s="172" customFormat="1" ht="17.25" customHeight="1" x14ac:dyDescent="0.15">
      <c r="B83" s="564"/>
      <c r="C83" s="1068"/>
      <c r="D83" s="565"/>
      <c r="E83" s="228"/>
      <c r="F83" s="1128" t="str">
        <f>IF(AND($X$64="非該当",$B80&lt;&gt;""),DATE(YEAR($I$27)-3,MONTH($I$27),DAY($I$27)),"")</f>
        <v/>
      </c>
      <c r="G83" s="1130"/>
      <c r="H83" s="318"/>
      <c r="I83" s="319"/>
      <c r="J83" s="318"/>
      <c r="K83" s="319"/>
      <c r="L83" s="318"/>
      <c r="M83" s="319"/>
      <c r="N83" s="318"/>
      <c r="O83" s="319"/>
      <c r="P83" s="174"/>
      <c r="Q83" s="229"/>
      <c r="R83" s="229"/>
      <c r="S83" s="229"/>
      <c r="T83" s="229"/>
      <c r="U83" s="229"/>
      <c r="V83" s="229"/>
      <c r="W83" s="229"/>
      <c r="X83" s="229"/>
      <c r="Y83" s="175"/>
      <c r="Z83" s="165"/>
    </row>
    <row r="84" spans="2:28" s="172" customFormat="1" ht="17.25" customHeight="1" x14ac:dyDescent="0.15">
      <c r="B84" s="566"/>
      <c r="C84" s="567"/>
      <c r="D84" s="568"/>
      <c r="E84" s="230"/>
      <c r="F84" s="1128" t="str">
        <f>IF(AND($X$64="非該当",$B80&lt;&gt;""),DATE(YEAR($I$27)-4,MONTH($I$27),DAY($I$27)),"")</f>
        <v/>
      </c>
      <c r="G84" s="1130"/>
      <c r="H84" s="318"/>
      <c r="I84" s="319"/>
      <c r="J84" s="318"/>
      <c r="K84" s="319"/>
      <c r="L84" s="318"/>
      <c r="M84" s="319"/>
      <c r="N84" s="318"/>
      <c r="O84" s="319"/>
      <c r="P84" s="184"/>
      <c r="Q84" s="231"/>
      <c r="R84" s="231"/>
      <c r="S84" s="231"/>
      <c r="T84" s="231"/>
      <c r="U84" s="231"/>
      <c r="V84" s="231"/>
      <c r="W84" s="231"/>
      <c r="X84" s="231"/>
      <c r="Y84" s="187"/>
      <c r="Z84" s="165"/>
    </row>
    <row r="85" spans="2:28" ht="17.25" customHeight="1" x14ac:dyDescent="0.15">
      <c r="Z85" s="165"/>
    </row>
    <row r="86" spans="2:28" ht="17.25" customHeight="1" x14ac:dyDescent="0.15">
      <c r="B86" s="171" t="s">
        <v>155</v>
      </c>
      <c r="AA86" s="212" t="str">
        <f>IF(G$23="","",G$23)</f>
        <v>秋田共同参画株式会社</v>
      </c>
    </row>
    <row r="87" spans="2:28" ht="17.25" customHeight="1" x14ac:dyDescent="0.15"/>
    <row r="88" spans="2:28" ht="17.25" customHeight="1" x14ac:dyDescent="0.15">
      <c r="B88" s="232" t="s">
        <v>129</v>
      </c>
    </row>
    <row r="89" spans="2:28" ht="17.25" customHeight="1" thickBot="1" x14ac:dyDescent="0.2">
      <c r="B89" s="171" t="s">
        <v>51</v>
      </c>
    </row>
    <row r="90" spans="2:28" s="172" customFormat="1" ht="47.25" customHeight="1" thickTop="1" x14ac:dyDescent="0.15">
      <c r="B90" s="1366"/>
      <c r="C90" s="1367"/>
      <c r="D90" s="1368"/>
      <c r="E90" s="233"/>
      <c r="F90" s="1085" t="s">
        <v>5</v>
      </c>
      <c r="G90" s="1089"/>
      <c r="H90" s="1090"/>
      <c r="I90" s="1085" t="s">
        <v>8</v>
      </c>
      <c r="J90" s="1086"/>
      <c r="K90" s="1087"/>
      <c r="L90" s="1085" t="s">
        <v>9</v>
      </c>
      <c r="M90" s="1089"/>
      <c r="N90" s="1090"/>
      <c r="O90" s="1088" t="s">
        <v>11</v>
      </c>
      <c r="P90" s="1089"/>
      <c r="Q90" s="1089"/>
      <c r="R90" s="1105" t="s">
        <v>10</v>
      </c>
      <c r="S90" s="1149"/>
      <c r="T90" s="1106"/>
      <c r="U90" s="1105" t="s">
        <v>234</v>
      </c>
      <c r="V90" s="1149"/>
      <c r="W90" s="1149"/>
      <c r="X90" s="1149"/>
      <c r="Y90" s="1106"/>
      <c r="Z90" s="1369" t="s">
        <v>50</v>
      </c>
      <c r="AA90" s="1370"/>
    </row>
    <row r="91" spans="2:28" s="172" customFormat="1" ht="17.25" customHeight="1" x14ac:dyDescent="0.15">
      <c r="B91" s="1371"/>
      <c r="C91" s="1372"/>
      <c r="D91" s="1373"/>
      <c r="E91" s="233"/>
      <c r="F91" s="1158">
        <f>IF($I$27="","",$I$27)</f>
        <v>45748</v>
      </c>
      <c r="G91" s="1159"/>
      <c r="H91" s="1160"/>
      <c r="I91" s="808">
        <v>13</v>
      </c>
      <c r="J91" s="809"/>
      <c r="K91" s="810"/>
      <c r="L91" s="808">
        <v>51</v>
      </c>
      <c r="M91" s="809"/>
      <c r="N91" s="810"/>
      <c r="O91" s="1103">
        <f>IF(F91="","",I91+L91)</f>
        <v>64</v>
      </c>
      <c r="P91" s="1104"/>
      <c r="Q91" s="1104"/>
      <c r="R91" s="503">
        <f>IF(F91="","",ROUND(I91/O91,3))</f>
        <v>0.20300000000000001</v>
      </c>
      <c r="S91" s="504"/>
      <c r="T91" s="505"/>
      <c r="U91" s="1377" t="str">
        <f>IF(R25="","",R25)</f>
        <v>製造業</v>
      </c>
      <c r="V91" s="1378"/>
      <c r="W91" s="1378"/>
      <c r="X91" s="1378"/>
      <c r="Y91" s="1379"/>
      <c r="Z91" s="827" t="s">
        <v>267</v>
      </c>
      <c r="AA91" s="828"/>
    </row>
    <row r="92" spans="2:28" s="172" customFormat="1" ht="17.25" customHeight="1" thickBot="1" x14ac:dyDescent="0.2">
      <c r="B92" s="1374"/>
      <c r="C92" s="1375"/>
      <c r="D92" s="1376"/>
      <c r="E92" s="233"/>
      <c r="F92" s="1161"/>
      <c r="G92" s="1162"/>
      <c r="H92" s="1163"/>
      <c r="I92" s="805"/>
      <c r="J92" s="806"/>
      <c r="K92" s="807"/>
      <c r="L92" s="805"/>
      <c r="M92" s="806"/>
      <c r="N92" s="807"/>
      <c r="O92" s="1364"/>
      <c r="P92" s="1365"/>
      <c r="Q92" s="1365"/>
      <c r="R92" s="506"/>
      <c r="S92" s="507"/>
      <c r="T92" s="508"/>
      <c r="U92" s="796">
        <v>22.7</v>
      </c>
      <c r="V92" s="797"/>
      <c r="W92" s="797"/>
      <c r="X92" s="797"/>
      <c r="Y92" s="798"/>
      <c r="Z92" s="829"/>
      <c r="AA92" s="830"/>
    </row>
    <row r="93" spans="2:28" ht="17.25" customHeight="1" thickTop="1" x14ac:dyDescent="0.15">
      <c r="V93" s="165" t="str">
        <f>IF(G23="","",IF(U92="","上段に産業分類、下段に産業平均値（%）を記載↑ ",""))</f>
        <v/>
      </c>
      <c r="Y93" s="234"/>
      <c r="AA93" s="165" t="str">
        <f>IF(G23="","",IF(Z91="","リストから選択↑　",""))</f>
        <v/>
      </c>
    </row>
    <row r="94" spans="2:28" ht="17.25" customHeight="1" x14ac:dyDescent="0.15">
      <c r="B94" s="172" t="s">
        <v>208</v>
      </c>
      <c r="U94" s="165"/>
      <c r="V94" s="165"/>
      <c r="W94" s="165"/>
      <c r="X94" s="165"/>
      <c r="Y94" s="165"/>
      <c r="Z94" s="165"/>
      <c r="AA94" s="165"/>
      <c r="AB94" s="165"/>
    </row>
    <row r="95" spans="2:28" s="172" customFormat="1" ht="47.25" customHeight="1" x14ac:dyDescent="0.15">
      <c r="B95" s="1366"/>
      <c r="C95" s="1367"/>
      <c r="D95" s="1368"/>
      <c r="E95" s="233"/>
      <c r="F95" s="1085" t="s">
        <v>153</v>
      </c>
      <c r="G95" s="1089"/>
      <c r="H95" s="1090"/>
      <c r="I95" s="1085" t="s">
        <v>8</v>
      </c>
      <c r="J95" s="1086"/>
      <c r="K95" s="1087"/>
      <c r="L95" s="1085" t="s">
        <v>9</v>
      </c>
      <c r="M95" s="1089"/>
      <c r="N95" s="1090"/>
      <c r="O95" s="1088" t="s">
        <v>11</v>
      </c>
      <c r="P95" s="1089"/>
      <c r="Q95" s="1089"/>
      <c r="R95" s="1085" t="s">
        <v>10</v>
      </c>
      <c r="S95" s="1089"/>
      <c r="T95" s="1090"/>
      <c r="U95" s="235"/>
      <c r="V95" s="218"/>
      <c r="W95" s="218"/>
      <c r="X95" s="218"/>
      <c r="Y95" s="218"/>
      <c r="Z95" s="218"/>
      <c r="AA95" s="180"/>
      <c r="AB95" s="165"/>
    </row>
    <row r="96" spans="2:28" s="172" customFormat="1" ht="17.25" customHeight="1" x14ac:dyDescent="0.15">
      <c r="B96" s="1366"/>
      <c r="C96" s="1367"/>
      <c r="D96" s="1368"/>
      <c r="E96" s="233"/>
      <c r="F96" s="1079">
        <f>IF(OR($Z$91="非該当",$Z$91="算出不能"),DATE(YEAR($I$27)-1,MONTH($I$27),DAY($I$27)),"")</f>
        <v>45383</v>
      </c>
      <c r="G96" s="1080"/>
      <c r="H96" s="1081"/>
      <c r="I96" s="784">
        <v>13</v>
      </c>
      <c r="J96" s="785"/>
      <c r="K96" s="786"/>
      <c r="L96" s="784">
        <v>52</v>
      </c>
      <c r="M96" s="785"/>
      <c r="N96" s="786"/>
      <c r="O96" s="1082">
        <f>IF(F96="","",I96+L96)</f>
        <v>65</v>
      </c>
      <c r="P96" s="1083"/>
      <c r="Q96" s="1084"/>
      <c r="R96" s="460">
        <f>IF(F96="","",ROUND(I96/O96,3))</f>
        <v>0.2</v>
      </c>
      <c r="S96" s="461"/>
      <c r="T96" s="462"/>
      <c r="U96" s="1088" t="s">
        <v>187</v>
      </c>
      <c r="V96" s="1089"/>
      <c r="W96" s="1089"/>
      <c r="X96" s="1089"/>
      <c r="Y96" s="1089"/>
      <c r="Z96" s="1089"/>
      <c r="AA96" s="1090"/>
      <c r="AB96" s="165"/>
    </row>
    <row r="97" spans="2:28" s="172" customFormat="1" ht="17.25" customHeight="1" x14ac:dyDescent="0.15">
      <c r="B97" s="1366"/>
      <c r="C97" s="1367"/>
      <c r="D97" s="1368"/>
      <c r="E97" s="233"/>
      <c r="F97" s="1079">
        <f>IF(OR($Z$91="非該当",$Z$91="算出不能"),DATE(YEAR($I$27)-2,MONTH($I$27),DAY($I$27)),"")</f>
        <v>45017</v>
      </c>
      <c r="G97" s="1080"/>
      <c r="H97" s="1081"/>
      <c r="I97" s="784">
        <v>15</v>
      </c>
      <c r="J97" s="785"/>
      <c r="K97" s="786"/>
      <c r="L97" s="784">
        <v>54</v>
      </c>
      <c r="M97" s="785"/>
      <c r="N97" s="786"/>
      <c r="O97" s="1082">
        <f>IF(F97="","",I97+L97)</f>
        <v>69</v>
      </c>
      <c r="P97" s="1083"/>
      <c r="Q97" s="1084"/>
      <c r="R97" s="460">
        <f>IF(F97="","",ROUND(I97/O97,3))</f>
        <v>0.217</v>
      </c>
      <c r="S97" s="461"/>
      <c r="T97" s="462"/>
      <c r="U97" s="1311" t="str">
        <f>IF(F97="","～",P16&amp;"～"&amp;Q18)</f>
        <v>令和7～5年</v>
      </c>
      <c r="V97" s="1312"/>
      <c r="W97" s="1312"/>
      <c r="X97" s="1313"/>
      <c r="Y97" s="1351">
        <f>IF(F97="","",ROUND(AVERAGE(R91,R96,R97),3))</f>
        <v>0.20699999999999999</v>
      </c>
      <c r="Z97" s="1352"/>
      <c r="AA97" s="1353"/>
      <c r="AB97" s="165"/>
    </row>
    <row r="98" spans="2:28" s="172" customFormat="1" ht="17.25" customHeight="1" x14ac:dyDescent="0.15">
      <c r="B98" s="1366"/>
      <c r="C98" s="1367"/>
      <c r="D98" s="1368"/>
      <c r="E98" s="233"/>
      <c r="F98" s="1079">
        <f>IF(OR($Z$91="非該当",$Z$91="算出不能"),DATE(YEAR($I$27)-3,MONTH($I$27),DAY($I$27)),"")</f>
        <v>44652</v>
      </c>
      <c r="G98" s="1080"/>
      <c r="H98" s="1081"/>
      <c r="I98" s="784">
        <v>11</v>
      </c>
      <c r="J98" s="785"/>
      <c r="K98" s="786"/>
      <c r="L98" s="784">
        <v>55</v>
      </c>
      <c r="M98" s="785"/>
      <c r="N98" s="786"/>
      <c r="O98" s="1082">
        <f>IF(F98="","",I98+L98)</f>
        <v>66</v>
      </c>
      <c r="P98" s="1083"/>
      <c r="Q98" s="1084"/>
      <c r="R98" s="460">
        <f>IF(F98="","",ROUND(I98/O98,3))</f>
        <v>0.16700000000000001</v>
      </c>
      <c r="S98" s="461"/>
      <c r="T98" s="462"/>
      <c r="U98" s="1311" t="str">
        <f>IF(F98="","～",P17&amp;"～"&amp;Q19)</f>
        <v>令和6～4年</v>
      </c>
      <c r="V98" s="1312"/>
      <c r="W98" s="1312"/>
      <c r="X98" s="1313"/>
      <c r="Y98" s="1351">
        <f>IF(F98="","",ROUND(AVERAGE(R96,R97,R98),3))</f>
        <v>0.19500000000000001</v>
      </c>
      <c r="Z98" s="1352"/>
      <c r="AA98" s="1353"/>
      <c r="AB98" s="165"/>
    </row>
    <row r="99" spans="2:28" s="172" customFormat="1" ht="17.25" customHeight="1" x14ac:dyDescent="0.15">
      <c r="B99" s="1366"/>
      <c r="C99" s="1367"/>
      <c r="D99" s="1368"/>
      <c r="E99" s="233"/>
      <c r="F99" s="1079">
        <f>IF(OR($Z$91="非該当",$Z$91="算出不能"),DATE(YEAR($I$27)-4,MONTH($I$27),DAY($I$27)),"")</f>
        <v>44287</v>
      </c>
      <c r="G99" s="1080"/>
      <c r="H99" s="1081"/>
      <c r="I99" s="784">
        <v>13</v>
      </c>
      <c r="J99" s="785"/>
      <c r="K99" s="786"/>
      <c r="L99" s="784">
        <v>52</v>
      </c>
      <c r="M99" s="785"/>
      <c r="N99" s="786"/>
      <c r="O99" s="1082">
        <f>IF(F99="","",I99+L99)</f>
        <v>65</v>
      </c>
      <c r="P99" s="1083"/>
      <c r="Q99" s="1084"/>
      <c r="R99" s="460">
        <f>IF(F99="","",ROUND(I99/O99,3))</f>
        <v>0.2</v>
      </c>
      <c r="S99" s="461"/>
      <c r="T99" s="462"/>
      <c r="U99" s="1311" t="str">
        <f>IF(F99="","～",P18&amp;"～"&amp;Q20)</f>
        <v>令和5～3年</v>
      </c>
      <c r="V99" s="1312"/>
      <c r="W99" s="1312"/>
      <c r="X99" s="1313"/>
      <c r="Y99" s="1351">
        <f>IF(F99="","",ROUND(AVERAGE(R97,R98,R99),3))</f>
        <v>0.19500000000000001</v>
      </c>
      <c r="Z99" s="1352"/>
      <c r="AA99" s="1353"/>
      <c r="AB99" s="165"/>
    </row>
    <row r="100" spans="2:28" ht="17.25" customHeight="1" x14ac:dyDescent="0.15">
      <c r="U100" s="165"/>
      <c r="V100" s="165"/>
      <c r="W100" s="165"/>
      <c r="X100" s="165"/>
      <c r="Y100" s="165"/>
      <c r="Z100" s="165"/>
      <c r="AA100" s="165"/>
      <c r="AB100" s="165"/>
    </row>
    <row r="101" spans="2:28" ht="17.25" customHeight="1" x14ac:dyDescent="0.15">
      <c r="U101" s="165"/>
      <c r="V101" s="165"/>
      <c r="W101" s="165"/>
      <c r="X101" s="165"/>
      <c r="Y101" s="165"/>
      <c r="Z101" s="165"/>
      <c r="AA101" s="165"/>
      <c r="AB101" s="165"/>
    </row>
    <row r="102" spans="2:28" ht="17.25" customHeight="1" x14ac:dyDescent="0.15">
      <c r="B102" s="171" t="s">
        <v>52</v>
      </c>
      <c r="U102" s="165"/>
      <c r="V102" s="165"/>
      <c r="W102" s="165"/>
      <c r="X102" s="165"/>
      <c r="Y102" s="165"/>
    </row>
    <row r="103" spans="2:28" ht="17.25" customHeight="1" thickBot="1" x14ac:dyDescent="0.2">
      <c r="C103" s="172" t="s">
        <v>66</v>
      </c>
    </row>
    <row r="104" spans="2:28" s="172" customFormat="1" ht="47.25" customHeight="1" thickTop="1" x14ac:dyDescent="0.15">
      <c r="B104" s="1085" t="s">
        <v>12</v>
      </c>
      <c r="C104" s="1086"/>
      <c r="D104" s="1087"/>
      <c r="E104" s="236"/>
      <c r="F104" s="1085" t="s">
        <v>5</v>
      </c>
      <c r="G104" s="1089"/>
      <c r="H104" s="1090"/>
      <c r="I104" s="1085" t="s">
        <v>47</v>
      </c>
      <c r="J104" s="1086"/>
      <c r="K104" s="1087"/>
      <c r="L104" s="1085" t="s">
        <v>49</v>
      </c>
      <c r="M104" s="1089"/>
      <c r="N104" s="1090"/>
      <c r="O104" s="1085" t="s">
        <v>48</v>
      </c>
      <c r="P104" s="1089"/>
      <c r="Q104" s="1089"/>
      <c r="R104" s="1105" t="s">
        <v>10</v>
      </c>
      <c r="S104" s="1149"/>
      <c r="T104" s="1106"/>
      <c r="U104" s="1105" t="s">
        <v>235</v>
      </c>
      <c r="V104" s="1149"/>
      <c r="W104" s="1149"/>
      <c r="X104" s="1149"/>
      <c r="Y104" s="1106"/>
      <c r="Z104" s="1105" t="s">
        <v>50</v>
      </c>
      <c r="AA104" s="1106"/>
    </row>
    <row r="105" spans="2:28" s="172" customFormat="1" ht="17.25" customHeight="1" x14ac:dyDescent="0.15">
      <c r="B105" s="615" t="s">
        <v>268</v>
      </c>
      <c r="C105" s="1240"/>
      <c r="D105" s="617"/>
      <c r="E105" s="237"/>
      <c r="F105" s="1360">
        <f>IF(I30&lt;&gt;"設定あり","",$I$27)</f>
        <v>45748</v>
      </c>
      <c r="G105" s="1361"/>
      <c r="H105" s="1362"/>
      <c r="I105" s="802">
        <v>10</v>
      </c>
      <c r="J105" s="1363"/>
      <c r="K105" s="804"/>
      <c r="L105" s="808">
        <v>46</v>
      </c>
      <c r="M105" s="809"/>
      <c r="N105" s="810"/>
      <c r="O105" s="1103">
        <f>IF(F105="","",I105+L105)</f>
        <v>56</v>
      </c>
      <c r="P105" s="1104"/>
      <c r="Q105" s="1104"/>
      <c r="R105" s="503">
        <f>IF(F105="","",ROUND(I105/O105,3))</f>
        <v>0.17899999999999999</v>
      </c>
      <c r="S105" s="504"/>
      <c r="T105" s="505"/>
      <c r="U105" s="1170" t="str">
        <f>IF(F105="","",R25)</f>
        <v>製造業</v>
      </c>
      <c r="V105" s="1171"/>
      <c r="W105" s="1171"/>
      <c r="X105" s="1171"/>
      <c r="Y105" s="1172"/>
      <c r="Z105" s="818" t="s">
        <v>267</v>
      </c>
      <c r="AA105" s="819"/>
    </row>
    <row r="106" spans="2:28" s="172" customFormat="1" ht="17.25" customHeight="1" thickBot="1" x14ac:dyDescent="0.2">
      <c r="B106" s="618"/>
      <c r="C106" s="619"/>
      <c r="D106" s="620"/>
      <c r="E106" s="237"/>
      <c r="F106" s="1161"/>
      <c r="G106" s="1162"/>
      <c r="H106" s="1163"/>
      <c r="I106" s="805"/>
      <c r="J106" s="806"/>
      <c r="K106" s="807"/>
      <c r="L106" s="805"/>
      <c r="M106" s="806"/>
      <c r="N106" s="807"/>
      <c r="O106" s="1364"/>
      <c r="P106" s="1365"/>
      <c r="Q106" s="1365"/>
      <c r="R106" s="506"/>
      <c r="S106" s="507"/>
      <c r="T106" s="508"/>
      <c r="U106" s="796">
        <v>16.8</v>
      </c>
      <c r="V106" s="797"/>
      <c r="W106" s="797"/>
      <c r="X106" s="797"/>
      <c r="Y106" s="798"/>
      <c r="Z106" s="820"/>
      <c r="AA106" s="821"/>
    </row>
    <row r="107" spans="2:28" ht="17.25" customHeight="1" thickTop="1" x14ac:dyDescent="0.15">
      <c r="V107" s="165" t="str">
        <f>IF(B105="","",IF(U106="","上段に産業分類、下段に産業平均値を記載↑ ",""))</f>
        <v/>
      </c>
      <c r="Y107" s="234"/>
      <c r="AA107" s="165" t="str">
        <f>IF(B105="","",IF(Z105="","リストから選択↑　",""))</f>
        <v/>
      </c>
    </row>
    <row r="108" spans="2:28" ht="17.25" customHeight="1" x14ac:dyDescent="0.15">
      <c r="B108" s="172" t="s">
        <v>209</v>
      </c>
      <c r="U108" s="165"/>
      <c r="V108" s="165"/>
      <c r="W108" s="165"/>
      <c r="X108" s="165"/>
      <c r="Y108" s="165"/>
      <c r="Z108" s="165"/>
      <c r="AA108" s="165"/>
      <c r="AB108" s="165"/>
    </row>
    <row r="109" spans="2:28" s="172" customFormat="1" ht="47.25" customHeight="1" x14ac:dyDescent="0.15">
      <c r="B109" s="1085" t="s">
        <v>12</v>
      </c>
      <c r="C109" s="1086"/>
      <c r="D109" s="1087"/>
      <c r="E109" s="223"/>
      <c r="F109" s="1085" t="s">
        <v>163</v>
      </c>
      <c r="G109" s="1089"/>
      <c r="H109" s="1090"/>
      <c r="I109" s="1085" t="s">
        <v>47</v>
      </c>
      <c r="J109" s="1086"/>
      <c r="K109" s="1087"/>
      <c r="L109" s="1085" t="s">
        <v>49</v>
      </c>
      <c r="M109" s="1089"/>
      <c r="N109" s="1090"/>
      <c r="O109" s="1085" t="s">
        <v>48</v>
      </c>
      <c r="P109" s="1089"/>
      <c r="Q109" s="1089"/>
      <c r="R109" s="1085" t="s">
        <v>10</v>
      </c>
      <c r="S109" s="1089"/>
      <c r="T109" s="1090"/>
      <c r="U109" s="235"/>
      <c r="V109" s="218"/>
      <c r="W109" s="218"/>
      <c r="X109" s="218"/>
      <c r="Y109" s="218"/>
      <c r="Z109" s="218"/>
      <c r="AA109" s="180"/>
      <c r="AB109" s="165"/>
    </row>
    <row r="110" spans="2:28" s="172" customFormat="1" ht="17.25" customHeight="1" x14ac:dyDescent="0.15">
      <c r="B110" s="1180" t="str">
        <f>IF(F110="","",B105)</f>
        <v>技術職</v>
      </c>
      <c r="C110" s="1181"/>
      <c r="D110" s="1182"/>
      <c r="E110" s="179"/>
      <c r="F110" s="1079">
        <f>IF(AND(F$105&lt;&gt;"",OR($Z$105="非該当",$Z$105="算出不能")),DATE(YEAR($I$27)-1,MONTH($I$27),DAY($I$27)),"")</f>
        <v>45383</v>
      </c>
      <c r="G110" s="1080"/>
      <c r="H110" s="1081"/>
      <c r="I110" s="784">
        <v>10</v>
      </c>
      <c r="J110" s="785"/>
      <c r="K110" s="786"/>
      <c r="L110" s="784">
        <v>46</v>
      </c>
      <c r="M110" s="785"/>
      <c r="N110" s="786"/>
      <c r="O110" s="1082">
        <f>IF(F110="","",I110+L110)</f>
        <v>56</v>
      </c>
      <c r="P110" s="1083"/>
      <c r="Q110" s="1084"/>
      <c r="R110" s="460">
        <f>IF(F110="","",ROUND(I110/O110,3))</f>
        <v>0.17899999999999999</v>
      </c>
      <c r="S110" s="461"/>
      <c r="T110" s="462"/>
      <c r="U110" s="1088" t="s">
        <v>187</v>
      </c>
      <c r="V110" s="1089"/>
      <c r="W110" s="1089"/>
      <c r="X110" s="1089"/>
      <c r="Y110" s="1089"/>
      <c r="Z110" s="1089"/>
      <c r="AA110" s="1090"/>
      <c r="AB110" s="165"/>
    </row>
    <row r="111" spans="2:28" s="172" customFormat="1" ht="17.25" customHeight="1" x14ac:dyDescent="0.15">
      <c r="B111" s="1354"/>
      <c r="C111" s="1355"/>
      <c r="D111" s="1356"/>
      <c r="E111" s="179"/>
      <c r="F111" s="1079">
        <f>IF(AND(F$105&lt;&gt;"",OR($Z$105="非該当",$Z$105="算出不能")),DATE(YEAR($I$27)-2,MONTH($I$27),DAY($I$27)),"")</f>
        <v>45017</v>
      </c>
      <c r="G111" s="1080"/>
      <c r="H111" s="1081"/>
      <c r="I111" s="784">
        <v>11</v>
      </c>
      <c r="J111" s="785"/>
      <c r="K111" s="786"/>
      <c r="L111" s="784">
        <v>45</v>
      </c>
      <c r="M111" s="785"/>
      <c r="N111" s="786"/>
      <c r="O111" s="1082">
        <f>IF(F111="","",I111+L111)</f>
        <v>56</v>
      </c>
      <c r="P111" s="1083"/>
      <c r="Q111" s="1084"/>
      <c r="R111" s="460">
        <f>IF(F111="","",ROUND(I111/O111,3))</f>
        <v>0.19600000000000001</v>
      </c>
      <c r="S111" s="461"/>
      <c r="T111" s="462"/>
      <c r="U111" s="1311" t="str">
        <f>IF(F111="","～",P16&amp;"～"&amp;Q18)</f>
        <v>令和7～5年</v>
      </c>
      <c r="V111" s="1312"/>
      <c r="W111" s="1312"/>
      <c r="X111" s="1313"/>
      <c r="Y111" s="1351">
        <f>IF(F111="","",ROUND(AVERAGE(R105,R110,R111),3))</f>
        <v>0.185</v>
      </c>
      <c r="Z111" s="1352"/>
      <c r="AA111" s="1353"/>
      <c r="AB111" s="165"/>
    </row>
    <row r="112" spans="2:28" s="172" customFormat="1" ht="17.25" customHeight="1" x14ac:dyDescent="0.15">
      <c r="B112" s="1354"/>
      <c r="C112" s="1355"/>
      <c r="D112" s="1356"/>
      <c r="E112" s="179"/>
      <c r="F112" s="1079">
        <f>IF(AND(F$105&lt;&gt;"",OR($Z$105="非該当",$Z$105="算出不能")),DATE(YEAR($I$27)-3,MONTH($I$27),DAY($I$27)),"")</f>
        <v>44652</v>
      </c>
      <c r="G112" s="1080"/>
      <c r="H112" s="1081"/>
      <c r="I112" s="784">
        <v>9</v>
      </c>
      <c r="J112" s="785"/>
      <c r="K112" s="786"/>
      <c r="L112" s="784">
        <v>45</v>
      </c>
      <c r="M112" s="785"/>
      <c r="N112" s="786"/>
      <c r="O112" s="1082">
        <f>IF(F112="","",I112+L112)</f>
        <v>54</v>
      </c>
      <c r="P112" s="1083"/>
      <c r="Q112" s="1084"/>
      <c r="R112" s="460">
        <f>IF(F112="","",ROUND(I112/O112,3))</f>
        <v>0.16700000000000001</v>
      </c>
      <c r="S112" s="461"/>
      <c r="T112" s="462"/>
      <c r="U112" s="1311" t="str">
        <f>IF(F112="","～",P17&amp;"～"&amp;Q19)</f>
        <v>令和6～4年</v>
      </c>
      <c r="V112" s="1312"/>
      <c r="W112" s="1312"/>
      <c r="X112" s="1313"/>
      <c r="Y112" s="1351">
        <f>IF(F112="","",ROUND(AVERAGE(R110,R111,R112),3))</f>
        <v>0.18099999999999999</v>
      </c>
      <c r="Z112" s="1352"/>
      <c r="AA112" s="1353"/>
      <c r="AB112" s="165"/>
    </row>
    <row r="113" spans="2:28" s="172" customFormat="1" ht="17.25" customHeight="1" x14ac:dyDescent="0.15">
      <c r="B113" s="1357"/>
      <c r="C113" s="1358"/>
      <c r="D113" s="1359"/>
      <c r="E113" s="179"/>
      <c r="F113" s="1079">
        <f>IF(AND(F$105&lt;&gt;"",OR($Z$105="非該当",$Z$105="算出不能")),DATE(YEAR($I$27)-4,MONTH($I$27),DAY($I$27)),"")</f>
        <v>44287</v>
      </c>
      <c r="G113" s="1080"/>
      <c r="H113" s="1081"/>
      <c r="I113" s="784">
        <v>12</v>
      </c>
      <c r="J113" s="785"/>
      <c r="K113" s="786"/>
      <c r="L113" s="784">
        <v>47</v>
      </c>
      <c r="M113" s="785"/>
      <c r="N113" s="786"/>
      <c r="O113" s="1082">
        <f>IF(F113="","",I113+L113)</f>
        <v>59</v>
      </c>
      <c r="P113" s="1083"/>
      <c r="Q113" s="1084"/>
      <c r="R113" s="460">
        <f>IF(F113="","",ROUND(I113/O113,3))</f>
        <v>0.20300000000000001</v>
      </c>
      <c r="S113" s="461"/>
      <c r="T113" s="462"/>
      <c r="U113" s="1311" t="str">
        <f>IF(F113="","～",P18&amp;"～"&amp;Q20)</f>
        <v>令和5～3年</v>
      </c>
      <c r="V113" s="1312"/>
      <c r="W113" s="1312"/>
      <c r="X113" s="1313"/>
      <c r="Y113" s="1351">
        <f>IF(F113="","",ROUND(AVERAGE(R111,R112,R113),3))</f>
        <v>0.189</v>
      </c>
      <c r="Z113" s="1352"/>
      <c r="AA113" s="1353"/>
      <c r="AB113" s="165"/>
    </row>
    <row r="114" spans="2:28" ht="17.25" customHeight="1" x14ac:dyDescent="0.15">
      <c r="H114" s="216"/>
    </row>
    <row r="115" spans="2:28" ht="30.75" customHeight="1" x14ac:dyDescent="0.15">
      <c r="B115" s="211" t="s">
        <v>156</v>
      </c>
      <c r="H115" s="211"/>
      <c r="AA115" s="212" t="str">
        <f>IF(G$23="","",G$23)</f>
        <v>秋田共同参画株式会社</v>
      </c>
    </row>
    <row r="116" spans="2:28" s="176" customFormat="1" ht="17.25" customHeight="1" x14ac:dyDescent="0.15">
      <c r="B116" s="1107" t="s">
        <v>148</v>
      </c>
      <c r="C116" s="1108"/>
      <c r="D116" s="1108"/>
      <c r="E116" s="1108"/>
      <c r="F116" s="1108"/>
      <c r="G116" s="1108"/>
      <c r="H116" s="1108"/>
      <c r="I116" s="1108"/>
      <c r="J116" s="1108"/>
      <c r="K116" s="1108"/>
      <c r="L116" s="1108"/>
      <c r="M116" s="1108"/>
      <c r="N116" s="1108"/>
      <c r="O116" s="1108"/>
      <c r="P116" s="1108"/>
      <c r="Q116" s="1108"/>
      <c r="R116" s="1108"/>
      <c r="S116" s="1108"/>
      <c r="T116" s="1108"/>
      <c r="U116" s="1108"/>
      <c r="V116" s="1108"/>
      <c r="W116" s="1108"/>
      <c r="X116" s="1108"/>
      <c r="Y116" s="1108"/>
      <c r="Z116" s="1108"/>
      <c r="AA116" s="1109"/>
    </row>
    <row r="117" spans="2:28" s="176" customFormat="1" ht="17.25" customHeight="1" x14ac:dyDescent="0.15">
      <c r="B117" s="1113" t="s">
        <v>126</v>
      </c>
      <c r="C117" s="1114"/>
      <c r="D117" s="1114"/>
      <c r="E117" s="1114"/>
      <c r="F117" s="1114"/>
      <c r="G117" s="1114"/>
      <c r="H117" s="1114"/>
      <c r="I117" s="1114"/>
      <c r="J117" s="1114"/>
      <c r="K117" s="1114"/>
      <c r="L117" s="1114"/>
      <c r="M117" s="1114"/>
      <c r="N117" s="1114"/>
      <c r="O117" s="1114"/>
      <c r="P117" s="1114"/>
      <c r="Q117" s="1114"/>
      <c r="R117" s="1114"/>
      <c r="S117" s="1114"/>
      <c r="T117" s="1114"/>
      <c r="U117" s="1114"/>
      <c r="V117" s="1114"/>
      <c r="W117" s="1114"/>
      <c r="X117" s="1114"/>
      <c r="Y117" s="1114"/>
      <c r="Z117" s="1114"/>
      <c r="AA117" s="1115"/>
    </row>
    <row r="118" spans="2:28" s="176" customFormat="1" ht="27" customHeight="1" x14ac:dyDescent="0.15">
      <c r="B118" s="1113" t="s">
        <v>87</v>
      </c>
      <c r="C118" s="1176"/>
      <c r="D118" s="1176"/>
      <c r="E118" s="1176"/>
      <c r="F118" s="1176"/>
      <c r="G118" s="1176"/>
      <c r="H118" s="1176"/>
      <c r="I118" s="1176"/>
      <c r="J118" s="1176"/>
      <c r="K118" s="1176"/>
      <c r="L118" s="1176"/>
      <c r="M118" s="1176"/>
      <c r="N118" s="1176"/>
      <c r="O118" s="1176"/>
      <c r="P118" s="1176"/>
      <c r="Q118" s="1176"/>
      <c r="R118" s="1176"/>
      <c r="S118" s="1176"/>
      <c r="T118" s="1176"/>
      <c r="U118" s="1176"/>
      <c r="V118" s="1176"/>
      <c r="W118" s="1176"/>
      <c r="X118" s="1176"/>
      <c r="Y118" s="1176"/>
      <c r="Z118" s="1176"/>
      <c r="AA118" s="1177"/>
    </row>
    <row r="119" spans="2:28" s="176" customFormat="1" ht="37.5" customHeight="1" x14ac:dyDescent="0.15">
      <c r="B119" s="1113" t="s">
        <v>89</v>
      </c>
      <c r="C119" s="1176"/>
      <c r="D119" s="1176"/>
      <c r="E119" s="1176"/>
      <c r="F119" s="1176"/>
      <c r="G119" s="1176"/>
      <c r="H119" s="1176"/>
      <c r="I119" s="1176"/>
      <c r="J119" s="1176"/>
      <c r="K119" s="1176"/>
      <c r="L119" s="1176"/>
      <c r="M119" s="1176"/>
      <c r="N119" s="1176"/>
      <c r="O119" s="1176"/>
      <c r="P119" s="1176"/>
      <c r="Q119" s="1176"/>
      <c r="R119" s="1176"/>
      <c r="S119" s="1176"/>
      <c r="T119" s="1176"/>
      <c r="U119" s="1176"/>
      <c r="V119" s="1176"/>
      <c r="W119" s="1176"/>
      <c r="X119" s="1176"/>
      <c r="Y119" s="1176"/>
      <c r="Z119" s="1176"/>
      <c r="AA119" s="1177"/>
      <c r="AB119" s="176" t="s">
        <v>88</v>
      </c>
    </row>
    <row r="120" spans="2:28" s="176" customFormat="1" ht="27" customHeight="1" x14ac:dyDescent="0.15">
      <c r="B120" s="1116" t="s">
        <v>127</v>
      </c>
      <c r="C120" s="1117"/>
      <c r="D120" s="1117"/>
      <c r="E120" s="1117"/>
      <c r="F120" s="1117"/>
      <c r="G120" s="1117"/>
      <c r="H120" s="1117"/>
      <c r="I120" s="1117"/>
      <c r="J120" s="1117"/>
      <c r="K120" s="1117"/>
      <c r="L120" s="1117"/>
      <c r="M120" s="1117"/>
      <c r="N120" s="1117"/>
      <c r="O120" s="1117"/>
      <c r="P120" s="1117"/>
      <c r="Q120" s="1117"/>
      <c r="R120" s="1117"/>
      <c r="S120" s="1117"/>
      <c r="T120" s="1117"/>
      <c r="U120" s="1117"/>
      <c r="V120" s="1117"/>
      <c r="W120" s="1117"/>
      <c r="X120" s="1117"/>
      <c r="Y120" s="1117"/>
      <c r="Z120" s="1117"/>
      <c r="AA120" s="1118"/>
    </row>
    <row r="121" spans="2:28" ht="17.25" customHeight="1" x14ac:dyDescent="0.15">
      <c r="H121" s="216"/>
    </row>
    <row r="122" spans="2:28" ht="17.25" customHeight="1" x14ac:dyDescent="0.15">
      <c r="B122" s="232" t="s">
        <v>130</v>
      </c>
    </row>
    <row r="123" spans="2:28" ht="17.25" customHeight="1" x14ac:dyDescent="0.15">
      <c r="B123" s="171" t="s">
        <v>53</v>
      </c>
    </row>
    <row r="124" spans="2:28" ht="16.5" customHeight="1" thickBot="1" x14ac:dyDescent="0.2">
      <c r="C124" s="1207" t="s">
        <v>242</v>
      </c>
      <c r="D124" s="1208"/>
      <c r="E124" s="1208"/>
      <c r="F124" s="1208"/>
      <c r="G124" s="1208"/>
      <c r="H124" s="1208"/>
      <c r="I124" s="1208"/>
      <c r="J124" s="1208"/>
      <c r="K124" s="1208"/>
      <c r="L124" s="1208"/>
      <c r="M124" s="1208"/>
      <c r="N124" s="1208"/>
      <c r="O124" s="1208"/>
      <c r="P124" s="1208"/>
      <c r="Q124" s="1208"/>
      <c r="R124" s="1208"/>
      <c r="S124" s="1208"/>
      <c r="T124" s="1208"/>
      <c r="U124" s="1208"/>
      <c r="V124" s="1208"/>
      <c r="W124" s="1208"/>
      <c r="X124" s="1208"/>
      <c r="Y124" s="1208"/>
      <c r="Z124" s="1208"/>
      <c r="AA124" s="1208"/>
    </row>
    <row r="125" spans="2:28" s="172" customFormat="1" ht="47.25" customHeight="1" thickTop="1" x14ac:dyDescent="0.15">
      <c r="B125" s="1085" t="s">
        <v>5</v>
      </c>
      <c r="C125" s="1086"/>
      <c r="D125" s="1087"/>
      <c r="E125" s="238"/>
      <c r="F125" s="1088" t="s">
        <v>0</v>
      </c>
      <c r="G125" s="1089"/>
      <c r="H125" s="1090"/>
      <c r="I125" s="1085" t="s">
        <v>165</v>
      </c>
      <c r="J125" s="1086"/>
      <c r="K125" s="1086"/>
      <c r="L125" s="1087"/>
      <c r="M125" s="1085" t="s">
        <v>166</v>
      </c>
      <c r="N125" s="1086"/>
      <c r="O125" s="1086"/>
      <c r="P125" s="1086"/>
      <c r="Q125" s="1085" t="s">
        <v>176</v>
      </c>
      <c r="R125" s="1086"/>
      <c r="S125" s="1086"/>
      <c r="T125" s="1086"/>
      <c r="U125" s="1105" t="s">
        <v>210</v>
      </c>
      <c r="V125" s="1156"/>
      <c r="W125" s="1156"/>
      <c r="X125" s="1157"/>
      <c r="Y125" s="171"/>
      <c r="Z125" s="171"/>
      <c r="AA125" s="171"/>
    </row>
    <row r="126" spans="2:28" s="172" customFormat="1" ht="17.25" customHeight="1" x14ac:dyDescent="0.15">
      <c r="B126" s="1342">
        <f>IF($I$27="","",$I$27)</f>
        <v>45748</v>
      </c>
      <c r="C126" s="1343"/>
      <c r="D126" s="1344"/>
      <c r="E126" s="239"/>
      <c r="F126" s="773" t="s">
        <v>265</v>
      </c>
      <c r="G126" s="774"/>
      <c r="H126" s="775"/>
      <c r="I126" s="776">
        <v>26.8</v>
      </c>
      <c r="J126" s="777"/>
      <c r="K126" s="777"/>
      <c r="L126" s="778"/>
      <c r="M126" s="776">
        <v>22.3</v>
      </c>
      <c r="N126" s="777"/>
      <c r="O126" s="777"/>
      <c r="P126" s="777"/>
      <c r="Q126" s="1027">
        <f>IF(F126="","",IF(M126&lt;=0,"－",ROUND(I126/M126,2)))</f>
        <v>1.2</v>
      </c>
      <c r="R126" s="1028"/>
      <c r="S126" s="1028"/>
      <c r="T126" s="1028"/>
      <c r="U126" s="1338" t="str">
        <f>IF(F126="","",IF(M126&lt;=0,"算出不能",IF(AND(I126&gt;0,M126&gt;0,Q126&gt;=0.7),"Ｃ≧0.7",IF(AND(I126&gt;0,M126&gt;0,Q126&lt;0.7),"Ｃ＜0.7"))))</f>
        <v>Ｃ≧0.7</v>
      </c>
      <c r="V126" s="1312"/>
      <c r="W126" s="1312"/>
      <c r="X126" s="1339"/>
      <c r="Y126" s="171"/>
      <c r="Z126" s="171"/>
    </row>
    <row r="127" spans="2:28" s="172" customFormat="1" ht="17.25" customHeight="1" x14ac:dyDescent="0.15">
      <c r="B127" s="1345"/>
      <c r="C127" s="1346"/>
      <c r="D127" s="1347"/>
      <c r="E127" s="240"/>
      <c r="F127" s="773" t="s">
        <v>257</v>
      </c>
      <c r="G127" s="774"/>
      <c r="H127" s="775"/>
      <c r="I127" s="776">
        <v>16.5</v>
      </c>
      <c r="J127" s="777"/>
      <c r="K127" s="777"/>
      <c r="L127" s="778"/>
      <c r="M127" s="776">
        <v>29.9</v>
      </c>
      <c r="N127" s="777"/>
      <c r="O127" s="777"/>
      <c r="P127" s="777"/>
      <c r="Q127" s="1027">
        <f t="shared" ref="Q127:Q128" si="3">IF(F127="","",IF(M127&lt;=0,"－",ROUND(I127/M127,2)))</f>
        <v>0.55000000000000004</v>
      </c>
      <c r="R127" s="1028"/>
      <c r="S127" s="1028"/>
      <c r="T127" s="1028"/>
      <c r="U127" s="1338" t="str">
        <f t="shared" ref="U127:U128" si="4">IF(F127="","",IF(M127&lt;=0,"算出不能",IF(AND(I127&gt;0,M127&gt;0,Q127&gt;=0.7),"Ｃ≧0.7",IF(AND(I127&gt;0,M127&gt;0,Q127&lt;0.7),"Ｃ＜0.7"))))</f>
        <v>Ｃ＜0.7</v>
      </c>
      <c r="V127" s="1312"/>
      <c r="W127" s="1312"/>
      <c r="X127" s="1339"/>
      <c r="Y127" s="171"/>
      <c r="Z127" s="171"/>
      <c r="AA127" s="176"/>
    </row>
    <row r="128" spans="2:28" s="172" customFormat="1" ht="17.25" customHeight="1" thickBot="1" x14ac:dyDescent="0.2">
      <c r="B128" s="1348"/>
      <c r="C128" s="1349"/>
      <c r="D128" s="1350"/>
      <c r="E128" s="241"/>
      <c r="F128" s="612" t="s">
        <v>266</v>
      </c>
      <c r="G128" s="613"/>
      <c r="H128" s="614"/>
      <c r="I128" s="756">
        <v>3.5</v>
      </c>
      <c r="J128" s="757"/>
      <c r="K128" s="757"/>
      <c r="L128" s="758"/>
      <c r="M128" s="756">
        <v>0</v>
      </c>
      <c r="N128" s="757"/>
      <c r="O128" s="757"/>
      <c r="P128" s="757"/>
      <c r="Q128" s="1257" t="str">
        <f t="shared" si="3"/>
        <v>－</v>
      </c>
      <c r="R128" s="1258"/>
      <c r="S128" s="1258"/>
      <c r="T128" s="1258"/>
      <c r="U128" s="1340" t="str">
        <f t="shared" si="4"/>
        <v>算出不能</v>
      </c>
      <c r="V128" s="1296"/>
      <c r="W128" s="1296"/>
      <c r="X128" s="1341"/>
      <c r="Y128" s="171"/>
      <c r="Z128" s="171"/>
      <c r="AA128" s="176"/>
    </row>
    <row r="129" spans="2:27" ht="27.75" customHeight="1" thickTop="1" thickBot="1" x14ac:dyDescent="0.2">
      <c r="C129" s="242"/>
      <c r="D129" s="242"/>
      <c r="E129" s="242"/>
      <c r="F129" s="1287" t="s">
        <v>195</v>
      </c>
      <c r="G129" s="1288"/>
      <c r="H129" s="1288"/>
      <c r="I129" s="1288"/>
      <c r="J129" s="1288"/>
      <c r="K129" s="1288"/>
      <c r="L129" s="1288"/>
      <c r="M129" s="1288"/>
      <c r="N129" s="1288"/>
      <c r="O129" s="1288"/>
      <c r="P129" s="1288"/>
      <c r="Q129" s="1288"/>
      <c r="R129" s="1288"/>
      <c r="S129" s="1288"/>
      <c r="T129" s="1288"/>
      <c r="U129" s="751" t="s">
        <v>267</v>
      </c>
      <c r="V129" s="751"/>
      <c r="W129" s="751"/>
      <c r="X129" s="752"/>
      <c r="AA129" s="180"/>
    </row>
    <row r="130" spans="2:27" ht="17.25" customHeight="1" thickTop="1" x14ac:dyDescent="0.15">
      <c r="X130" s="165" t="str">
        <f>IF(G23="","",IF(U129="","リストから選択↑　",""))</f>
        <v/>
      </c>
      <c r="AA130" s="180"/>
    </row>
    <row r="131" spans="2:27" ht="16.5" customHeight="1" x14ac:dyDescent="0.15">
      <c r="B131" s="172" t="s">
        <v>211</v>
      </c>
      <c r="C131" s="172"/>
      <c r="D131" s="172"/>
      <c r="E131" s="172"/>
      <c r="F131" s="172"/>
      <c r="G131" s="172"/>
      <c r="H131" s="172"/>
      <c r="I131" s="172"/>
      <c r="J131" s="172"/>
      <c r="K131" s="172"/>
      <c r="L131" s="172"/>
      <c r="M131" s="172"/>
      <c r="N131" s="172"/>
      <c r="O131" s="172"/>
      <c r="P131" s="172"/>
      <c r="Q131" s="172"/>
      <c r="R131" s="172"/>
      <c r="S131" s="172"/>
      <c r="T131" s="172"/>
      <c r="U131" s="172"/>
      <c r="V131" s="172"/>
      <c r="W131" s="172"/>
      <c r="X131" s="172"/>
      <c r="Y131" s="172"/>
      <c r="Z131" s="172"/>
      <c r="AA131" s="172"/>
    </row>
    <row r="132" spans="2:27" ht="27.75" customHeight="1" x14ac:dyDescent="0.15">
      <c r="C132" s="1207" t="s">
        <v>243</v>
      </c>
      <c r="D132" s="1208"/>
      <c r="E132" s="1208"/>
      <c r="F132" s="1208"/>
      <c r="G132" s="1208"/>
      <c r="H132" s="1208"/>
      <c r="I132" s="1208"/>
      <c r="J132" s="1208"/>
      <c r="K132" s="1208"/>
      <c r="L132" s="1208"/>
      <c r="M132" s="1208"/>
      <c r="N132" s="1208"/>
      <c r="O132" s="1208"/>
      <c r="P132" s="1208"/>
      <c r="Q132" s="1208"/>
      <c r="R132" s="1208"/>
      <c r="S132" s="1208"/>
      <c r="T132" s="1208"/>
      <c r="U132" s="1208"/>
      <c r="V132" s="1208"/>
      <c r="W132" s="1208"/>
      <c r="X132" s="1208"/>
      <c r="Y132" s="1208"/>
      <c r="Z132" s="1208"/>
      <c r="AA132" s="1208"/>
    </row>
    <row r="133" spans="2:27" s="172" customFormat="1" ht="47.25" customHeight="1" x14ac:dyDescent="0.15">
      <c r="B133" s="1085" t="s">
        <v>164</v>
      </c>
      <c r="C133" s="1086"/>
      <c r="D133" s="1087"/>
      <c r="E133" s="238"/>
      <c r="F133" s="1088" t="s">
        <v>0</v>
      </c>
      <c r="G133" s="1089"/>
      <c r="H133" s="1090"/>
      <c r="I133" s="1085" t="s">
        <v>165</v>
      </c>
      <c r="J133" s="1086"/>
      <c r="K133" s="1086"/>
      <c r="L133" s="1087"/>
      <c r="M133" s="1085" t="s">
        <v>166</v>
      </c>
      <c r="N133" s="1086"/>
      <c r="O133" s="1086"/>
      <c r="P133" s="1086"/>
      <c r="Q133" s="1254" t="s">
        <v>176</v>
      </c>
      <c r="R133" s="1255"/>
      <c r="S133" s="1255"/>
      <c r="T133" s="1322"/>
      <c r="U133" s="171"/>
      <c r="V133" s="171"/>
      <c r="W133" s="171"/>
      <c r="X133" s="171"/>
      <c r="Y133" s="171"/>
      <c r="Z133" s="171"/>
      <c r="AA133" s="180"/>
    </row>
    <row r="134" spans="2:27" s="172" customFormat="1" ht="17.25" customHeight="1" x14ac:dyDescent="0.15">
      <c r="B134" s="1329">
        <f>IF($U$129="非該当",DATE(YEAR($I$27)-1,MONTH($I$27),DAY($I$27)),"")</f>
        <v>45383</v>
      </c>
      <c r="C134" s="1330"/>
      <c r="D134" s="1331"/>
      <c r="E134" s="243"/>
      <c r="F134" s="1326" t="str">
        <f>IF(B134="","",IF(F126="","",F126))</f>
        <v>営業職</v>
      </c>
      <c r="G134" s="1327"/>
      <c r="H134" s="1328"/>
      <c r="I134" s="738">
        <v>25.7</v>
      </c>
      <c r="J134" s="739"/>
      <c r="K134" s="739"/>
      <c r="L134" s="740"/>
      <c r="M134" s="738">
        <v>22</v>
      </c>
      <c r="N134" s="739"/>
      <c r="O134" s="739"/>
      <c r="P134" s="739"/>
      <c r="Q134" s="1027">
        <f>IF(F134="","",IF(OR(M134="",M134=0),"－",ROUND(I134/M134,2)))</f>
        <v>1.17</v>
      </c>
      <c r="R134" s="1028"/>
      <c r="S134" s="1028"/>
      <c r="T134" s="1282"/>
      <c r="AA134" s="180"/>
    </row>
    <row r="135" spans="2:27" s="172" customFormat="1" ht="17.25" customHeight="1" x14ac:dyDescent="0.15">
      <c r="B135" s="1332"/>
      <c r="C135" s="1333"/>
      <c r="D135" s="1334"/>
      <c r="E135" s="244"/>
      <c r="F135" s="1326" t="str">
        <f>IF(B134="","",IF(F127="","",F127))</f>
        <v>技術職</v>
      </c>
      <c r="G135" s="1327"/>
      <c r="H135" s="1328"/>
      <c r="I135" s="738">
        <v>15.8</v>
      </c>
      <c r="J135" s="739"/>
      <c r="K135" s="739"/>
      <c r="L135" s="740"/>
      <c r="M135" s="738">
        <v>28</v>
      </c>
      <c r="N135" s="739"/>
      <c r="O135" s="739"/>
      <c r="P135" s="739"/>
      <c r="Q135" s="1027">
        <f t="shared" ref="Q135:Q145" si="5">IF(F135="","",IF(OR(M135="",M135=0),"－",ROUND(I135/M135,2)))</f>
        <v>0.56000000000000005</v>
      </c>
      <c r="R135" s="1028"/>
      <c r="S135" s="1028"/>
      <c r="T135" s="1282"/>
      <c r="U135" s="171"/>
      <c r="V135" s="171"/>
      <c r="W135" s="171"/>
      <c r="X135" s="171"/>
      <c r="Y135" s="171"/>
      <c r="Z135" s="171"/>
      <c r="AA135" s="180"/>
    </row>
    <row r="136" spans="2:27" s="172" customFormat="1" ht="17.25" customHeight="1" x14ac:dyDescent="0.15">
      <c r="B136" s="1335"/>
      <c r="C136" s="1336"/>
      <c r="D136" s="1337"/>
      <c r="E136" s="245"/>
      <c r="F136" s="1326" t="str">
        <f>IF(B134="","",IF(F128="","",F128))</f>
        <v>パート技術職</v>
      </c>
      <c r="G136" s="1327"/>
      <c r="H136" s="1328"/>
      <c r="I136" s="738">
        <v>3</v>
      </c>
      <c r="J136" s="739"/>
      <c r="K136" s="739"/>
      <c r="L136" s="740"/>
      <c r="M136" s="738">
        <v>0</v>
      </c>
      <c r="N136" s="739"/>
      <c r="O136" s="739"/>
      <c r="P136" s="739"/>
      <c r="Q136" s="1027" t="str">
        <f t="shared" si="5"/>
        <v>－</v>
      </c>
      <c r="R136" s="1028"/>
      <c r="S136" s="1028"/>
      <c r="T136" s="1282"/>
      <c r="U136" s="1088" t="s">
        <v>168</v>
      </c>
      <c r="V136" s="1089"/>
      <c r="W136" s="1089"/>
      <c r="X136" s="1089"/>
      <c r="Y136" s="1089"/>
      <c r="Z136" s="1089"/>
      <c r="AA136" s="1090"/>
    </row>
    <row r="137" spans="2:27" s="172" customFormat="1" ht="17.25" customHeight="1" x14ac:dyDescent="0.15">
      <c r="B137" s="1329">
        <f>IF($U$129="非該当",DATE(YEAR($I$27)-2,MONTH($I$27),DAY($I$27)),"")</f>
        <v>45017</v>
      </c>
      <c r="C137" s="1330"/>
      <c r="D137" s="1331"/>
      <c r="E137" s="243"/>
      <c r="F137" s="1326" t="str">
        <f>IF(B137="","",IF(F126="","",F126))</f>
        <v>営業職</v>
      </c>
      <c r="G137" s="1327"/>
      <c r="H137" s="1328"/>
      <c r="I137" s="738">
        <v>24</v>
      </c>
      <c r="J137" s="739"/>
      <c r="K137" s="739"/>
      <c r="L137" s="740"/>
      <c r="M137" s="738">
        <v>21.4</v>
      </c>
      <c r="N137" s="739"/>
      <c r="O137" s="739"/>
      <c r="P137" s="739"/>
      <c r="Q137" s="1027">
        <f t="shared" si="5"/>
        <v>1.1200000000000001</v>
      </c>
      <c r="R137" s="1028"/>
      <c r="S137" s="1028"/>
      <c r="T137" s="1282"/>
      <c r="U137" s="1202" t="str">
        <f>IF(B137="","",P16)</f>
        <v>令和7</v>
      </c>
      <c r="V137" s="1203"/>
      <c r="W137" s="1185" t="str">
        <f t="shared" ref="W137:W145" si="6">IF(F137="","",F137)</f>
        <v>営業職</v>
      </c>
      <c r="X137" s="1186"/>
      <c r="Y137" s="1187"/>
      <c r="Z137" s="1323">
        <f>IF(W137="","",ROUND(SUMIF(F$126:H$139,W137,Q$126:T$139)/3,2))</f>
        <v>1.1599999999999999</v>
      </c>
      <c r="AA137" s="1324"/>
    </row>
    <row r="138" spans="2:27" s="172" customFormat="1" ht="17.25" customHeight="1" x14ac:dyDescent="0.15">
      <c r="B138" s="1332"/>
      <c r="C138" s="1333"/>
      <c r="D138" s="1334"/>
      <c r="E138" s="244"/>
      <c r="F138" s="1326" t="str">
        <f>IF(B137="","",IF(F127="","",F127))</f>
        <v>技術職</v>
      </c>
      <c r="G138" s="1327"/>
      <c r="H138" s="1328"/>
      <c r="I138" s="738">
        <v>14</v>
      </c>
      <c r="J138" s="739"/>
      <c r="K138" s="739"/>
      <c r="L138" s="740"/>
      <c r="M138" s="738">
        <v>25.3</v>
      </c>
      <c r="N138" s="739"/>
      <c r="O138" s="739"/>
      <c r="P138" s="739"/>
      <c r="Q138" s="1027">
        <f t="shared" si="5"/>
        <v>0.55000000000000004</v>
      </c>
      <c r="R138" s="1028"/>
      <c r="S138" s="1028"/>
      <c r="T138" s="1282"/>
      <c r="U138" s="1191" t="s">
        <v>77</v>
      </c>
      <c r="V138" s="1192"/>
      <c r="W138" s="1185" t="str">
        <f t="shared" si="6"/>
        <v>技術職</v>
      </c>
      <c r="X138" s="1186"/>
      <c r="Y138" s="1187"/>
      <c r="Z138" s="1323">
        <f>IF(W138="","",ROUND(SUMIF(F$126:H$139,W138,Q$126:T$139)/3,2))</f>
        <v>0.55000000000000004</v>
      </c>
      <c r="AA138" s="1324"/>
    </row>
    <row r="139" spans="2:27" s="172" customFormat="1" ht="17.25" customHeight="1" x14ac:dyDescent="0.15">
      <c r="B139" s="1335"/>
      <c r="C139" s="1336"/>
      <c r="D139" s="1337"/>
      <c r="E139" s="245"/>
      <c r="F139" s="1326" t="str">
        <f>IF(B137="","",IF(F128="","",F128))</f>
        <v>パート技術職</v>
      </c>
      <c r="G139" s="1327"/>
      <c r="H139" s="1328"/>
      <c r="I139" s="738">
        <v>3</v>
      </c>
      <c r="J139" s="739"/>
      <c r="K139" s="739"/>
      <c r="L139" s="740"/>
      <c r="M139" s="738">
        <v>0.6</v>
      </c>
      <c r="N139" s="739"/>
      <c r="O139" s="739"/>
      <c r="P139" s="739"/>
      <c r="Q139" s="1027">
        <f t="shared" si="5"/>
        <v>5</v>
      </c>
      <c r="R139" s="1028"/>
      <c r="S139" s="1028"/>
      <c r="T139" s="1282"/>
      <c r="U139" s="1183" t="str">
        <f>IF(B137="","",Q18)</f>
        <v>5年</v>
      </c>
      <c r="V139" s="1184"/>
      <c r="W139" s="1185" t="str">
        <f t="shared" si="6"/>
        <v>パート技術職</v>
      </c>
      <c r="X139" s="1186"/>
      <c r="Y139" s="1187"/>
      <c r="Z139" s="1323">
        <f>IF(W139="","",ROUND(SUMIF(F$126:H$139,W139,Q$126:T$139)/3,2))</f>
        <v>1.67</v>
      </c>
      <c r="AA139" s="1324"/>
    </row>
    <row r="140" spans="2:27" s="172" customFormat="1" ht="17.25" customHeight="1" x14ac:dyDescent="0.15">
      <c r="B140" s="1329">
        <f>IF($U$129="非該当",DATE(YEAR($I$27)-3,MONTH($I$27),DAY($I$27)),"")</f>
        <v>44652</v>
      </c>
      <c r="C140" s="1330"/>
      <c r="D140" s="1331"/>
      <c r="E140" s="243"/>
      <c r="F140" s="1326" t="str">
        <f>IF(B140="","",IF(F126="","",F126))</f>
        <v>営業職</v>
      </c>
      <c r="G140" s="1327"/>
      <c r="H140" s="1328"/>
      <c r="I140" s="738">
        <v>15.5</v>
      </c>
      <c r="J140" s="739"/>
      <c r="K140" s="739"/>
      <c r="L140" s="740"/>
      <c r="M140" s="738">
        <v>20.399999999999999</v>
      </c>
      <c r="N140" s="739"/>
      <c r="O140" s="739"/>
      <c r="P140" s="739"/>
      <c r="Q140" s="1027">
        <f t="shared" si="5"/>
        <v>0.76</v>
      </c>
      <c r="R140" s="1028"/>
      <c r="S140" s="1028"/>
      <c r="T140" s="1282"/>
      <c r="U140" s="1202" t="str">
        <f>IF(B140="","",P17)</f>
        <v>令和6</v>
      </c>
      <c r="V140" s="1203"/>
      <c r="W140" s="1185" t="str">
        <f t="shared" si="6"/>
        <v>営業職</v>
      </c>
      <c r="X140" s="1186"/>
      <c r="Y140" s="1187"/>
      <c r="Z140" s="1323">
        <f>IF(W140="","",ROUND(SUMIF(F$134:H$142,W140,Q$134:T$142)/3,2))</f>
        <v>1.02</v>
      </c>
      <c r="AA140" s="1324"/>
    </row>
    <row r="141" spans="2:27" s="172" customFormat="1" ht="17.25" customHeight="1" x14ac:dyDescent="0.15">
      <c r="B141" s="1332"/>
      <c r="C141" s="1333"/>
      <c r="D141" s="1334"/>
      <c r="E141" s="244"/>
      <c r="F141" s="1326" t="str">
        <f>IF(B140="","",IF(F127="","",F127))</f>
        <v>技術職</v>
      </c>
      <c r="G141" s="1327"/>
      <c r="H141" s="1328"/>
      <c r="I141" s="738">
        <v>16.600000000000001</v>
      </c>
      <c r="J141" s="739"/>
      <c r="K141" s="739"/>
      <c r="L141" s="740"/>
      <c r="M141" s="738">
        <v>28.9</v>
      </c>
      <c r="N141" s="739"/>
      <c r="O141" s="739"/>
      <c r="P141" s="739"/>
      <c r="Q141" s="1027">
        <f t="shared" si="5"/>
        <v>0.56999999999999995</v>
      </c>
      <c r="R141" s="1028"/>
      <c r="S141" s="1028"/>
      <c r="T141" s="1282"/>
      <c r="U141" s="1191" t="s">
        <v>77</v>
      </c>
      <c r="V141" s="1192"/>
      <c r="W141" s="1185" t="str">
        <f t="shared" si="6"/>
        <v>技術職</v>
      </c>
      <c r="X141" s="1186"/>
      <c r="Y141" s="1187"/>
      <c r="Z141" s="1323">
        <f>IF(W141="","",ROUND(SUMIF(F$134:H$142,W141,Q$134:T$142)/3,2))</f>
        <v>0.56000000000000005</v>
      </c>
      <c r="AA141" s="1324"/>
    </row>
    <row r="142" spans="2:27" s="172" customFormat="1" ht="17.25" customHeight="1" x14ac:dyDescent="0.15">
      <c r="B142" s="1335"/>
      <c r="C142" s="1336"/>
      <c r="D142" s="1337"/>
      <c r="E142" s="245"/>
      <c r="F142" s="1326" t="str">
        <f>IF(B140="","",IF(F128="","",F128))</f>
        <v>パート技術職</v>
      </c>
      <c r="G142" s="1327"/>
      <c r="H142" s="1328"/>
      <c r="I142" s="738">
        <v>2.5</v>
      </c>
      <c r="J142" s="739"/>
      <c r="K142" s="739"/>
      <c r="L142" s="740"/>
      <c r="M142" s="738">
        <v>0</v>
      </c>
      <c r="N142" s="739"/>
      <c r="O142" s="739"/>
      <c r="P142" s="739"/>
      <c r="Q142" s="1027" t="str">
        <f t="shared" si="5"/>
        <v>－</v>
      </c>
      <c r="R142" s="1028"/>
      <c r="S142" s="1028"/>
      <c r="T142" s="1282"/>
      <c r="U142" s="1183" t="str">
        <f>IF(B140="","",Q19)</f>
        <v>4年</v>
      </c>
      <c r="V142" s="1184"/>
      <c r="W142" s="1185" t="str">
        <f t="shared" si="6"/>
        <v>パート技術職</v>
      </c>
      <c r="X142" s="1186"/>
      <c r="Y142" s="1187"/>
      <c r="Z142" s="1323">
        <f>IF(W142="","",ROUND(SUMIF(F$134:H$142,W142,Q$134:T$142)/3,2))</f>
        <v>1.67</v>
      </c>
      <c r="AA142" s="1324"/>
    </row>
    <row r="143" spans="2:27" s="172" customFormat="1" ht="17.25" customHeight="1" x14ac:dyDescent="0.15">
      <c r="B143" s="1329">
        <f>IF($U$129="非該当",DATE(YEAR($I$27)-4,MONTH($I$27),DAY($I$27)),"")</f>
        <v>44287</v>
      </c>
      <c r="C143" s="1330"/>
      <c r="D143" s="1331"/>
      <c r="E143" s="243"/>
      <c r="F143" s="1326" t="str">
        <f>IF(B143="","",IF(F126="","",F126))</f>
        <v>営業職</v>
      </c>
      <c r="G143" s="1327"/>
      <c r="H143" s="1328"/>
      <c r="I143" s="738">
        <v>14.5</v>
      </c>
      <c r="J143" s="739"/>
      <c r="K143" s="739"/>
      <c r="L143" s="740"/>
      <c r="M143" s="738">
        <v>19</v>
      </c>
      <c r="N143" s="739"/>
      <c r="O143" s="739"/>
      <c r="P143" s="739"/>
      <c r="Q143" s="1027">
        <f t="shared" si="5"/>
        <v>0.76</v>
      </c>
      <c r="R143" s="1028"/>
      <c r="S143" s="1028"/>
      <c r="T143" s="1282"/>
      <c r="U143" s="1202" t="str">
        <f>IF(B143="","",P18)</f>
        <v>令和5</v>
      </c>
      <c r="V143" s="1203"/>
      <c r="W143" s="1185" t="str">
        <f t="shared" si="6"/>
        <v>営業職</v>
      </c>
      <c r="X143" s="1186"/>
      <c r="Y143" s="1187"/>
      <c r="Z143" s="1323">
        <f>IF(W143="","",ROUND(SUMIF(F$137:H$145,W143,Q$137:T$145)/3,2))</f>
        <v>0.88</v>
      </c>
      <c r="AA143" s="1324"/>
    </row>
    <row r="144" spans="2:27" s="172" customFormat="1" ht="17.25" customHeight="1" x14ac:dyDescent="0.15">
      <c r="B144" s="1332"/>
      <c r="C144" s="1333"/>
      <c r="D144" s="1334"/>
      <c r="E144" s="244"/>
      <c r="F144" s="1326" t="str">
        <f>IF(B143="","",IF(F127="","",F127))</f>
        <v>技術職</v>
      </c>
      <c r="G144" s="1327"/>
      <c r="H144" s="1328"/>
      <c r="I144" s="738">
        <v>15.5</v>
      </c>
      <c r="J144" s="739"/>
      <c r="K144" s="739"/>
      <c r="L144" s="740"/>
      <c r="M144" s="738">
        <v>27.3</v>
      </c>
      <c r="N144" s="739"/>
      <c r="O144" s="739"/>
      <c r="P144" s="739"/>
      <c r="Q144" s="1027">
        <f t="shared" si="5"/>
        <v>0.56999999999999995</v>
      </c>
      <c r="R144" s="1028"/>
      <c r="S144" s="1028"/>
      <c r="T144" s="1282"/>
      <c r="U144" s="1191" t="s">
        <v>77</v>
      </c>
      <c r="V144" s="1192"/>
      <c r="W144" s="1185" t="str">
        <f t="shared" si="6"/>
        <v>技術職</v>
      </c>
      <c r="X144" s="1186"/>
      <c r="Y144" s="1187"/>
      <c r="Z144" s="1323">
        <f>IF(W144="","",ROUND(SUMIF(F$137:H$145,W144,Q$137:T$145)/3,2))</f>
        <v>0.56000000000000005</v>
      </c>
      <c r="AA144" s="1324"/>
    </row>
    <row r="145" spans="2:27" s="172" customFormat="1" ht="17.25" customHeight="1" x14ac:dyDescent="0.15">
      <c r="B145" s="1335"/>
      <c r="C145" s="1336"/>
      <c r="D145" s="1337"/>
      <c r="E145" s="245"/>
      <c r="F145" s="1326" t="str">
        <f>IF(B143="","",IF(F128="","",F128))</f>
        <v>パート技術職</v>
      </c>
      <c r="G145" s="1327"/>
      <c r="H145" s="1328"/>
      <c r="I145" s="738">
        <v>2.8</v>
      </c>
      <c r="J145" s="739"/>
      <c r="K145" s="739"/>
      <c r="L145" s="740"/>
      <c r="M145" s="738">
        <v>0</v>
      </c>
      <c r="N145" s="739"/>
      <c r="O145" s="739"/>
      <c r="P145" s="739"/>
      <c r="Q145" s="1027" t="str">
        <f t="shared" si="5"/>
        <v>－</v>
      </c>
      <c r="R145" s="1028"/>
      <c r="S145" s="1028"/>
      <c r="T145" s="1282"/>
      <c r="U145" s="1183" t="str">
        <f>IF(B143="","",Q20)</f>
        <v>3年</v>
      </c>
      <c r="V145" s="1184"/>
      <c r="W145" s="1185" t="str">
        <f t="shared" si="6"/>
        <v>パート技術職</v>
      </c>
      <c r="X145" s="1186"/>
      <c r="Y145" s="1187"/>
      <c r="Z145" s="1323">
        <f>IF(W145="","",ROUND(SUMIF(F$137:H$145,W145,Q$137:T$145)/3,2))</f>
        <v>1.67</v>
      </c>
      <c r="AA145" s="1324"/>
    </row>
    <row r="146" spans="2:27" ht="17.25" customHeight="1" x14ac:dyDescent="0.15">
      <c r="B146" s="246"/>
      <c r="C146" s="246"/>
      <c r="D146" s="246"/>
    </row>
    <row r="147" spans="2:27" ht="17.25" customHeight="1" x14ac:dyDescent="0.15">
      <c r="B147" s="171" t="s">
        <v>222</v>
      </c>
      <c r="AA147" s="212" t="str">
        <f>IF(G$23="","",G$23)</f>
        <v>秋田共同参画株式会社</v>
      </c>
    </row>
    <row r="148" spans="2:27" ht="17.25" customHeight="1" x14ac:dyDescent="0.15"/>
    <row r="149" spans="2:27" ht="17.25" customHeight="1" x14ac:dyDescent="0.15">
      <c r="B149" s="171" t="s">
        <v>220</v>
      </c>
    </row>
    <row r="150" spans="2:27" ht="16.5" customHeight="1" x14ac:dyDescent="0.15">
      <c r="C150" s="1207" t="s">
        <v>240</v>
      </c>
      <c r="D150" s="1208"/>
      <c r="E150" s="1208"/>
      <c r="F150" s="1208"/>
      <c r="G150" s="1208"/>
      <c r="H150" s="1208"/>
      <c r="I150" s="1208"/>
      <c r="J150" s="1208"/>
      <c r="K150" s="1208"/>
      <c r="L150" s="1208"/>
      <c r="M150" s="1208"/>
      <c r="N150" s="1208"/>
      <c r="O150" s="1208"/>
      <c r="P150" s="1208"/>
      <c r="Q150" s="1208"/>
      <c r="R150" s="1208"/>
      <c r="S150" s="1208"/>
      <c r="T150" s="1208"/>
      <c r="U150" s="1208"/>
      <c r="V150" s="1208"/>
      <c r="W150" s="1208"/>
      <c r="X150" s="1208"/>
      <c r="Y150" s="1208"/>
      <c r="Z150" s="1208"/>
      <c r="AA150" s="1208"/>
    </row>
    <row r="151" spans="2:27" ht="17.25" customHeight="1" thickBot="1" x14ac:dyDescent="0.2">
      <c r="I151" s="1137" t="s">
        <v>40</v>
      </c>
      <c r="J151" s="1138"/>
      <c r="K151" s="1138"/>
      <c r="L151" s="1138"/>
      <c r="M151" s="1138"/>
      <c r="N151" s="1138"/>
      <c r="O151" s="1139"/>
      <c r="P151" s="1137" t="s">
        <v>41</v>
      </c>
      <c r="Q151" s="1138"/>
      <c r="R151" s="1138"/>
      <c r="S151" s="1138"/>
      <c r="T151" s="1138"/>
      <c r="U151" s="1138"/>
      <c r="V151" s="1139"/>
    </row>
    <row r="152" spans="2:27" s="172" customFormat="1" ht="47.25" customHeight="1" thickTop="1" x14ac:dyDescent="0.15">
      <c r="B152" s="1260" t="s">
        <v>0</v>
      </c>
      <c r="C152" s="1261"/>
      <c r="D152" s="1325"/>
      <c r="E152" s="233"/>
      <c r="F152" s="1254" t="s">
        <v>71</v>
      </c>
      <c r="G152" s="1261"/>
      <c r="H152" s="1325"/>
      <c r="I152" s="1254" t="s">
        <v>221</v>
      </c>
      <c r="J152" s="1261"/>
      <c r="K152" s="1254" t="str">
        <f>IF(F154="","うち直近事業年度で雇用されている者","うち"&amp;P16&amp;"事業年度で雇用されている者")</f>
        <v>うち令和7事業年度で雇用されている者</v>
      </c>
      <c r="L152" s="1255"/>
      <c r="M152" s="1322"/>
      <c r="N152" s="1254" t="s">
        <v>183</v>
      </c>
      <c r="O152" s="1322"/>
      <c r="P152" s="1254" t="s">
        <v>221</v>
      </c>
      <c r="Q152" s="1261"/>
      <c r="R152" s="1254" t="str">
        <f>IF(F154="","うち直近事業年度で雇用されている者","うち"&amp;P16&amp;"事業年度で雇用されている者")</f>
        <v>うち令和7事業年度で雇用されている者</v>
      </c>
      <c r="S152" s="1255"/>
      <c r="T152" s="1322"/>
      <c r="U152" s="1254" t="s">
        <v>184</v>
      </c>
      <c r="V152" s="1255"/>
      <c r="W152" s="1085" t="s">
        <v>14</v>
      </c>
      <c r="X152" s="1089"/>
      <c r="Y152" s="1089"/>
      <c r="Z152" s="1105" t="s">
        <v>179</v>
      </c>
      <c r="AA152" s="1106"/>
    </row>
    <row r="153" spans="2:27" s="172" customFormat="1" ht="17.25" customHeight="1" x14ac:dyDescent="0.15">
      <c r="B153" s="612" t="s">
        <v>265</v>
      </c>
      <c r="C153" s="613"/>
      <c r="D153" s="614"/>
      <c r="E153" s="228" t="str">
        <f>IF(B153="","",B153&amp;F153)</f>
        <v>営業職42461</v>
      </c>
      <c r="F153" s="1158">
        <f>IF($B153="","",DATE(YEAR($I$27)-9,MONTH($I$27),DAY($I$27)))</f>
        <v>42461</v>
      </c>
      <c r="G153" s="1159"/>
      <c r="H153" s="1160"/>
      <c r="I153" s="463">
        <v>1</v>
      </c>
      <c r="J153" s="464"/>
      <c r="K153" s="463">
        <v>1</v>
      </c>
      <c r="L153" s="593"/>
      <c r="M153" s="464"/>
      <c r="N153" s="707">
        <f>IF(B153="","",IF(I156&lt;=0,"－",ROUND(K156/I156,3)))</f>
        <v>1</v>
      </c>
      <c r="O153" s="708"/>
      <c r="P153" s="463">
        <v>1</v>
      </c>
      <c r="Q153" s="464"/>
      <c r="R153" s="463">
        <v>1</v>
      </c>
      <c r="S153" s="593"/>
      <c r="T153" s="464"/>
      <c r="U153" s="707">
        <f>IF(B153="","",IF(P156&lt;=0,"－",ROUND(R156/P156,3)))</f>
        <v>0.66700000000000004</v>
      </c>
      <c r="V153" s="711"/>
      <c r="W153" s="1309" t="s">
        <v>170</v>
      </c>
      <c r="X153" s="1310"/>
      <c r="Y153" s="1310"/>
      <c r="Z153" s="1303" t="str">
        <f>IF(B153="","",IF(W154="－","算出不能",IF(AND(N153&gt;0,U153&gt;0,W154&gt;=0.8),"Ｃ≧0.8",IF(AND(N153&gt;0,U153&gt;0,W154&lt;0.8),"Ｃ＜0.8"))))</f>
        <v>Ｃ≧0.8</v>
      </c>
      <c r="AA153" s="1304"/>
    </row>
    <row r="154" spans="2:27" s="172" customFormat="1" ht="17.25" customHeight="1" x14ac:dyDescent="0.15">
      <c r="B154" s="615"/>
      <c r="C154" s="1240"/>
      <c r="D154" s="617"/>
      <c r="E154" s="228" t="str">
        <f>IF(B153="","",B153&amp;F154)</f>
        <v>営業職42095</v>
      </c>
      <c r="F154" s="1158">
        <f>IF($B153="","",DATE(YEAR($I$27)-10,MONTH($I$27),DAY($I$27)))</f>
        <v>42095</v>
      </c>
      <c r="G154" s="1159"/>
      <c r="H154" s="1160"/>
      <c r="I154" s="463">
        <v>0</v>
      </c>
      <c r="J154" s="464"/>
      <c r="K154" s="463">
        <v>0</v>
      </c>
      <c r="L154" s="593"/>
      <c r="M154" s="464"/>
      <c r="N154" s="304"/>
      <c r="O154" s="305"/>
      <c r="P154" s="463">
        <v>1</v>
      </c>
      <c r="Q154" s="464"/>
      <c r="R154" s="463">
        <v>1</v>
      </c>
      <c r="S154" s="593"/>
      <c r="T154" s="464"/>
      <c r="U154" s="304"/>
      <c r="V154" s="712"/>
      <c r="W154" s="1048">
        <f>IF(B153="","",IF(OR(N153="－",U153="－",U153=0),"－",ROUND(N153/U153,2)))</f>
        <v>1.5</v>
      </c>
      <c r="X154" s="1049"/>
      <c r="Y154" s="1049"/>
      <c r="Z154" s="1305"/>
      <c r="AA154" s="1306"/>
    </row>
    <row r="155" spans="2:27" s="172" customFormat="1" ht="17.25" customHeight="1" x14ac:dyDescent="0.15">
      <c r="B155" s="615"/>
      <c r="C155" s="1240"/>
      <c r="D155" s="617"/>
      <c r="E155" s="228" t="str">
        <f>IF(B153="","",B153&amp;F155)</f>
        <v>営業職41730</v>
      </c>
      <c r="F155" s="1158">
        <f>IF($B153="","",DATE(YEAR($I$27)-11,MONTH($I$27),DAY($I$27)))</f>
        <v>41730</v>
      </c>
      <c r="G155" s="1159"/>
      <c r="H155" s="1160"/>
      <c r="I155" s="463">
        <v>0</v>
      </c>
      <c r="J155" s="464"/>
      <c r="K155" s="463">
        <v>0</v>
      </c>
      <c r="L155" s="593"/>
      <c r="M155" s="464"/>
      <c r="N155" s="304"/>
      <c r="O155" s="305"/>
      <c r="P155" s="463">
        <v>1</v>
      </c>
      <c r="Q155" s="464"/>
      <c r="R155" s="463">
        <v>0</v>
      </c>
      <c r="S155" s="593"/>
      <c r="T155" s="464"/>
      <c r="U155" s="304"/>
      <c r="V155" s="712"/>
      <c r="W155" s="1048"/>
      <c r="X155" s="1049"/>
      <c r="Y155" s="1049"/>
      <c r="Z155" s="1305"/>
      <c r="AA155" s="1306"/>
    </row>
    <row r="156" spans="2:27" s="172" customFormat="1" ht="17.25" customHeight="1" x14ac:dyDescent="0.15">
      <c r="B156" s="618"/>
      <c r="C156" s="619"/>
      <c r="D156" s="620"/>
      <c r="E156" s="179"/>
      <c r="F156" s="1311" t="s">
        <v>15</v>
      </c>
      <c r="G156" s="1312"/>
      <c r="H156" s="1313"/>
      <c r="I156" s="1314">
        <f>IF($B$153="","",SUM(I153:J155))</f>
        <v>1</v>
      </c>
      <c r="J156" s="1315"/>
      <c r="K156" s="1314">
        <f>IF($B$153="","",SUM(K153:M155))</f>
        <v>1</v>
      </c>
      <c r="L156" s="1316"/>
      <c r="M156" s="1315"/>
      <c r="N156" s="709"/>
      <c r="O156" s="710"/>
      <c r="P156" s="1314">
        <f>IF($B$153="","",SUM(P153:Q155))</f>
        <v>3</v>
      </c>
      <c r="Q156" s="1315"/>
      <c r="R156" s="1314">
        <f>IF($B$153="","",SUM(R153:T155))</f>
        <v>2</v>
      </c>
      <c r="S156" s="1316"/>
      <c r="T156" s="1315"/>
      <c r="U156" s="709"/>
      <c r="V156" s="713"/>
      <c r="W156" s="1307"/>
      <c r="X156" s="1308"/>
      <c r="Y156" s="1308"/>
      <c r="Z156" s="1320"/>
      <c r="AA156" s="1321"/>
    </row>
    <row r="157" spans="2:27" s="172" customFormat="1" ht="17.25" customHeight="1" x14ac:dyDescent="0.15">
      <c r="B157" s="612" t="str">
        <f>IF(B58="","",B58)</f>
        <v>技術職</v>
      </c>
      <c r="C157" s="613"/>
      <c r="D157" s="614"/>
      <c r="E157" s="228" t="str">
        <f>IF(B157="","",B157&amp;F157)</f>
        <v>技術職42461</v>
      </c>
      <c r="F157" s="1158">
        <f>IF($B157="","",DATE(YEAR($I$27)-9,MONTH($I$27),DAY($I$27)))</f>
        <v>42461</v>
      </c>
      <c r="G157" s="1159"/>
      <c r="H157" s="1160"/>
      <c r="I157" s="704">
        <v>1</v>
      </c>
      <c r="J157" s="705"/>
      <c r="K157" s="704">
        <v>0</v>
      </c>
      <c r="L157" s="706"/>
      <c r="M157" s="705"/>
      <c r="N157" s="707">
        <f t="shared" ref="N157" si="7">IF(B157="","",IF(I160&lt;=0,"－",ROUND(K160/I160,3)))</f>
        <v>0.33300000000000002</v>
      </c>
      <c r="O157" s="708"/>
      <c r="P157" s="704">
        <v>2</v>
      </c>
      <c r="Q157" s="705"/>
      <c r="R157" s="704">
        <v>1</v>
      </c>
      <c r="S157" s="706"/>
      <c r="T157" s="705"/>
      <c r="U157" s="707">
        <f t="shared" ref="U157" si="8">IF(B157="","",IF(P160&lt;=0,"－",ROUND(R160/P160,3)))</f>
        <v>0.66700000000000004</v>
      </c>
      <c r="V157" s="711"/>
      <c r="W157" s="1309" t="s">
        <v>170</v>
      </c>
      <c r="X157" s="1310"/>
      <c r="Y157" s="1310"/>
      <c r="Z157" s="1303" t="str">
        <f>IF(B157="","",IF(W158="－","算出不能",IF(AND(N157&gt;0,U157&gt;0,W158&gt;=0.8),"Ｃ≧0.8",IF(AND(N157&gt;0,U157&gt;0,W158&lt;0.8),"Ｃ＜0.8"))))</f>
        <v>Ｃ＜0.8</v>
      </c>
      <c r="AA157" s="1304"/>
    </row>
    <row r="158" spans="2:27" s="172" customFormat="1" ht="17.25" customHeight="1" x14ac:dyDescent="0.15">
      <c r="B158" s="615"/>
      <c r="C158" s="1240"/>
      <c r="D158" s="617"/>
      <c r="E158" s="228" t="str">
        <f>IF(B157="","",B157&amp;F158)</f>
        <v>技術職42095</v>
      </c>
      <c r="F158" s="1158">
        <f>IF($B157="","",DATE(YEAR($I$27)-10,MONTH($I$27),DAY($I$27)))</f>
        <v>42095</v>
      </c>
      <c r="G158" s="1159"/>
      <c r="H158" s="1160"/>
      <c r="I158" s="463">
        <v>1</v>
      </c>
      <c r="J158" s="464"/>
      <c r="K158" s="463">
        <v>1</v>
      </c>
      <c r="L158" s="593"/>
      <c r="M158" s="464"/>
      <c r="N158" s="304"/>
      <c r="O158" s="305"/>
      <c r="P158" s="463">
        <v>3</v>
      </c>
      <c r="Q158" s="464"/>
      <c r="R158" s="463">
        <v>2</v>
      </c>
      <c r="S158" s="593"/>
      <c r="T158" s="464"/>
      <c r="U158" s="304"/>
      <c r="V158" s="712"/>
      <c r="W158" s="1048">
        <f>IF(B157="","",IF(OR(N157="－",U157="－",U157=0),"－",ROUND(N157/U157,2)))</f>
        <v>0.5</v>
      </c>
      <c r="X158" s="1049"/>
      <c r="Y158" s="1049"/>
      <c r="Z158" s="1305"/>
      <c r="AA158" s="1306"/>
    </row>
    <row r="159" spans="2:27" s="172" customFormat="1" ht="17.25" customHeight="1" x14ac:dyDescent="0.15">
      <c r="B159" s="615"/>
      <c r="C159" s="1240"/>
      <c r="D159" s="617"/>
      <c r="E159" s="228" t="str">
        <f>IF(B157="","",B157&amp;F159)</f>
        <v>技術職41730</v>
      </c>
      <c r="F159" s="1158">
        <f>IF($B157="","",DATE(YEAR($I$27)-11,MONTH($I$27),DAY($I$27)))</f>
        <v>41730</v>
      </c>
      <c r="G159" s="1159"/>
      <c r="H159" s="1160"/>
      <c r="I159" s="463">
        <v>1</v>
      </c>
      <c r="J159" s="464"/>
      <c r="K159" s="463">
        <v>0</v>
      </c>
      <c r="L159" s="593"/>
      <c r="M159" s="464"/>
      <c r="N159" s="304"/>
      <c r="O159" s="305"/>
      <c r="P159" s="463">
        <v>4</v>
      </c>
      <c r="Q159" s="464"/>
      <c r="R159" s="463">
        <v>3</v>
      </c>
      <c r="S159" s="593"/>
      <c r="T159" s="464"/>
      <c r="U159" s="304"/>
      <c r="V159" s="712"/>
      <c r="W159" s="1048"/>
      <c r="X159" s="1049"/>
      <c r="Y159" s="1049"/>
      <c r="Z159" s="1305"/>
      <c r="AA159" s="1306"/>
    </row>
    <row r="160" spans="2:27" s="172" customFormat="1" ht="17.25" customHeight="1" x14ac:dyDescent="0.15">
      <c r="B160" s="618"/>
      <c r="C160" s="619"/>
      <c r="D160" s="620"/>
      <c r="E160" s="179"/>
      <c r="F160" s="1311" t="s">
        <v>15</v>
      </c>
      <c r="G160" s="1312"/>
      <c r="H160" s="1313"/>
      <c r="I160" s="1314">
        <f>IF($B$157="","",SUM(I157:J159))</f>
        <v>3</v>
      </c>
      <c r="J160" s="1315"/>
      <c r="K160" s="1314">
        <f>IF($B$157="","",SUM(K157:M159))</f>
        <v>1</v>
      </c>
      <c r="L160" s="1316"/>
      <c r="M160" s="1315"/>
      <c r="N160" s="709"/>
      <c r="O160" s="710"/>
      <c r="P160" s="1314">
        <f>IF($B$157="","",SUM(P157:Q159))</f>
        <v>9</v>
      </c>
      <c r="Q160" s="1315"/>
      <c r="R160" s="1317">
        <f>IF($B$157="","",SUM(R157:T159))</f>
        <v>6</v>
      </c>
      <c r="S160" s="1318"/>
      <c r="T160" s="1319"/>
      <c r="U160" s="709"/>
      <c r="V160" s="713"/>
      <c r="W160" s="1307"/>
      <c r="X160" s="1308"/>
      <c r="Y160" s="1308"/>
      <c r="Z160" s="1320"/>
      <c r="AA160" s="1321"/>
    </row>
    <row r="161" spans="1:28" s="172" customFormat="1" ht="17.25" customHeight="1" x14ac:dyDescent="0.15">
      <c r="B161" s="612" t="str">
        <f>IF(B61="","",B61)</f>
        <v>パート技術職</v>
      </c>
      <c r="C161" s="613"/>
      <c r="D161" s="614"/>
      <c r="E161" s="228" t="str">
        <f>IF(B161="","",B161&amp;F161)</f>
        <v>パート技術職42461</v>
      </c>
      <c r="F161" s="1158">
        <f>IF($B161="","",DATE(YEAR($I$27)-9,MONTH($I$27),DAY($I$27)))</f>
        <v>42461</v>
      </c>
      <c r="G161" s="1159"/>
      <c r="H161" s="1160"/>
      <c r="I161" s="704">
        <v>2</v>
      </c>
      <c r="J161" s="705"/>
      <c r="K161" s="704">
        <v>0</v>
      </c>
      <c r="L161" s="706"/>
      <c r="M161" s="705"/>
      <c r="N161" s="707">
        <f t="shared" ref="N161" si="9">IF(B161="","",IF(I164&lt;=0,"－",ROUND(K164/I164,3)))</f>
        <v>0</v>
      </c>
      <c r="O161" s="708"/>
      <c r="P161" s="704">
        <v>0</v>
      </c>
      <c r="Q161" s="705"/>
      <c r="R161" s="704">
        <v>0</v>
      </c>
      <c r="S161" s="706"/>
      <c r="T161" s="705"/>
      <c r="U161" s="707" t="str">
        <f t="shared" ref="U161" si="10">IF(B161="","",IF(P164&lt;=0,"－",ROUND(R164/P164,3)))</f>
        <v>－</v>
      </c>
      <c r="V161" s="711"/>
      <c r="W161" s="1309" t="s">
        <v>170</v>
      </c>
      <c r="X161" s="1310"/>
      <c r="Y161" s="1310"/>
      <c r="Z161" s="1303" t="str">
        <f>IF(B161="","",IF(W162="－","算出不能",IF(AND(N161&gt;0,U161&gt;0,W162&gt;=0.8),"Ｃ≧0.8",IF(AND(N161&gt;0,U161&gt;0,W162&lt;0.8),"Ｃ＜0.8"))))</f>
        <v>算出不能</v>
      </c>
      <c r="AA161" s="1304"/>
    </row>
    <row r="162" spans="1:28" s="172" customFormat="1" ht="17.25" customHeight="1" x14ac:dyDescent="0.15">
      <c r="B162" s="615"/>
      <c r="C162" s="1240"/>
      <c r="D162" s="617"/>
      <c r="E162" s="228" t="str">
        <f>IF(B161="","",B161&amp;F162)</f>
        <v>パート技術職42095</v>
      </c>
      <c r="F162" s="1158">
        <f>IF($B161="","",DATE(YEAR($I$27)-10,MONTH($I$27),DAY($I$27)))</f>
        <v>42095</v>
      </c>
      <c r="G162" s="1159"/>
      <c r="H162" s="1160"/>
      <c r="I162" s="463">
        <v>3</v>
      </c>
      <c r="J162" s="464"/>
      <c r="K162" s="463">
        <v>0</v>
      </c>
      <c r="L162" s="593"/>
      <c r="M162" s="464"/>
      <c r="N162" s="304"/>
      <c r="O162" s="305"/>
      <c r="P162" s="463">
        <v>0</v>
      </c>
      <c r="Q162" s="464"/>
      <c r="R162" s="463">
        <v>0</v>
      </c>
      <c r="S162" s="593"/>
      <c r="T162" s="464"/>
      <c r="U162" s="304"/>
      <c r="V162" s="712"/>
      <c r="W162" s="1048" t="str">
        <f>IF(B161="","",IF(OR(N161="－",U161="－",U161=0),"－",ROUND(N161/U161,2)))</f>
        <v>－</v>
      </c>
      <c r="X162" s="1049"/>
      <c r="Y162" s="1049"/>
      <c r="Z162" s="1305"/>
      <c r="AA162" s="1306"/>
    </row>
    <row r="163" spans="1:28" s="172" customFormat="1" ht="17.25" customHeight="1" x14ac:dyDescent="0.15">
      <c r="B163" s="615"/>
      <c r="C163" s="1240"/>
      <c r="D163" s="617"/>
      <c r="E163" s="228" t="str">
        <f>IF(B161="","",B161&amp;F163)</f>
        <v>パート技術職41730</v>
      </c>
      <c r="F163" s="1158">
        <f>IF($B161="","",DATE(YEAR($I$27)-11,MONTH($I$27),DAY($I$27)))</f>
        <v>41730</v>
      </c>
      <c r="G163" s="1159"/>
      <c r="H163" s="1160"/>
      <c r="I163" s="463">
        <v>2</v>
      </c>
      <c r="J163" s="464"/>
      <c r="K163" s="463">
        <v>0</v>
      </c>
      <c r="L163" s="593"/>
      <c r="M163" s="464"/>
      <c r="N163" s="304"/>
      <c r="O163" s="305"/>
      <c r="P163" s="463">
        <v>0</v>
      </c>
      <c r="Q163" s="464"/>
      <c r="R163" s="463">
        <v>0</v>
      </c>
      <c r="S163" s="593"/>
      <c r="T163" s="464"/>
      <c r="U163" s="304"/>
      <c r="V163" s="712"/>
      <c r="W163" s="1048"/>
      <c r="X163" s="1049"/>
      <c r="Y163" s="1049"/>
      <c r="Z163" s="1305"/>
      <c r="AA163" s="1306"/>
    </row>
    <row r="164" spans="1:28" s="172" customFormat="1" ht="17.25" customHeight="1" thickBot="1" x14ac:dyDescent="0.2">
      <c r="B164" s="618"/>
      <c r="C164" s="619"/>
      <c r="D164" s="620"/>
      <c r="E164" s="179"/>
      <c r="F164" s="1295" t="s">
        <v>15</v>
      </c>
      <c r="G164" s="1296"/>
      <c r="H164" s="1297"/>
      <c r="I164" s="1298">
        <f>IF($B$161="","",SUM(I161:J163))</f>
        <v>7</v>
      </c>
      <c r="J164" s="1299"/>
      <c r="K164" s="1300">
        <f>IF($B$161="","",SUM(K161:M163))</f>
        <v>0</v>
      </c>
      <c r="L164" s="1301"/>
      <c r="M164" s="1302"/>
      <c r="N164" s="304"/>
      <c r="O164" s="305"/>
      <c r="P164" s="1298">
        <f>IF($B$161="","",SUM(P161:Q163))</f>
        <v>0</v>
      </c>
      <c r="Q164" s="1299"/>
      <c r="R164" s="1300">
        <f>IF($B$161="","",SUM(R161:T163))</f>
        <v>0</v>
      </c>
      <c r="S164" s="1301"/>
      <c r="T164" s="1302"/>
      <c r="U164" s="304"/>
      <c r="V164" s="712"/>
      <c r="W164" s="1285"/>
      <c r="X164" s="1286"/>
      <c r="Y164" s="1286"/>
      <c r="Z164" s="1305"/>
      <c r="AA164" s="1306"/>
    </row>
    <row r="165" spans="1:28" s="172" customFormat="1" ht="27.75" customHeight="1" thickTop="1" thickBot="1" x14ac:dyDescent="0.2">
      <c r="A165" s="247"/>
      <c r="C165" s="242"/>
      <c r="D165" s="242"/>
      <c r="E165" s="242"/>
      <c r="F165" s="1287" t="s">
        <v>196</v>
      </c>
      <c r="G165" s="1288"/>
      <c r="H165" s="1288"/>
      <c r="I165" s="1288"/>
      <c r="J165" s="1288"/>
      <c r="K165" s="1288"/>
      <c r="L165" s="1288"/>
      <c r="M165" s="1288"/>
      <c r="N165" s="1288"/>
      <c r="O165" s="1288"/>
      <c r="P165" s="1288"/>
      <c r="Q165" s="1288"/>
      <c r="R165" s="1288"/>
      <c r="S165" s="1288"/>
      <c r="T165" s="1288"/>
      <c r="U165" s="1288"/>
      <c r="V165" s="1288"/>
      <c r="W165" s="690" t="s">
        <v>267</v>
      </c>
      <c r="X165" s="690"/>
      <c r="Y165" s="690"/>
      <c r="Z165" s="690"/>
      <c r="AA165" s="691"/>
      <c r="AB165" s="247"/>
    </row>
    <row r="166" spans="1:28" s="172" customFormat="1" ht="17.25" customHeight="1" thickTop="1" x14ac:dyDescent="0.15">
      <c r="A166" s="247"/>
      <c r="B166" s="247"/>
      <c r="C166" s="247"/>
      <c r="D166" s="247"/>
      <c r="E166" s="247"/>
      <c r="F166" s="247"/>
      <c r="G166" s="247"/>
      <c r="H166" s="247"/>
      <c r="I166" s="247"/>
      <c r="J166" s="247"/>
      <c r="K166" s="247"/>
      <c r="L166" s="247"/>
      <c r="M166" s="247"/>
      <c r="N166" s="247"/>
      <c r="O166" s="247"/>
      <c r="P166" s="247"/>
      <c r="Q166" s="247"/>
      <c r="R166" s="247"/>
      <c r="S166" s="247"/>
      <c r="T166" s="247"/>
      <c r="U166" s="247"/>
      <c r="AA166" s="165" t="str">
        <f>IF(G23="","",IF(W165="","リストから選択↑　",""))</f>
        <v/>
      </c>
      <c r="AB166" s="247"/>
    </row>
    <row r="167" spans="1:28" ht="17.25" customHeight="1" x14ac:dyDescent="0.15">
      <c r="B167" s="172" t="s">
        <v>212</v>
      </c>
    </row>
    <row r="168" spans="1:28" ht="27.75" customHeight="1" x14ac:dyDescent="0.15">
      <c r="C168" s="1078" t="s">
        <v>244</v>
      </c>
      <c r="D168" s="1078"/>
      <c r="E168" s="1078"/>
      <c r="F168" s="1078"/>
      <c r="G168" s="1078"/>
      <c r="H168" s="1078"/>
      <c r="I168" s="1078"/>
      <c r="J168" s="1078"/>
      <c r="K168" s="1078"/>
      <c r="L168" s="1078"/>
      <c r="M168" s="1078"/>
      <c r="N168" s="1078"/>
      <c r="O168" s="1078"/>
      <c r="P168" s="1078"/>
      <c r="Q168" s="1078"/>
      <c r="R168" s="1078"/>
      <c r="S168" s="1078"/>
      <c r="T168" s="1078"/>
      <c r="U168" s="1078"/>
      <c r="V168" s="1078"/>
      <c r="W168" s="1078"/>
      <c r="X168" s="1078"/>
      <c r="Y168" s="1078"/>
      <c r="Z168" s="1078"/>
      <c r="AA168" s="1078"/>
    </row>
    <row r="169" spans="1:28" s="172" customFormat="1" ht="17.25" customHeight="1" x14ac:dyDescent="0.15">
      <c r="B169" s="1289" t="s">
        <v>0</v>
      </c>
      <c r="C169" s="1290"/>
      <c r="D169" s="1291"/>
      <c r="E169" s="233"/>
      <c r="F169" s="1292" t="s">
        <v>213</v>
      </c>
      <c r="G169" s="1293"/>
      <c r="H169" s="1293"/>
      <c r="I169" s="1293"/>
      <c r="J169" s="1293"/>
      <c r="K169" s="1293"/>
      <c r="L169" s="1293"/>
      <c r="M169" s="1293"/>
      <c r="N169" s="1293"/>
      <c r="O169" s="1293"/>
      <c r="P169" s="1293"/>
      <c r="Q169" s="1293"/>
      <c r="R169" s="1293"/>
      <c r="S169" s="1293"/>
      <c r="T169" s="1293"/>
      <c r="U169" s="1293"/>
      <c r="V169" s="1293"/>
      <c r="W169" s="1293"/>
      <c r="X169" s="1293"/>
      <c r="Y169" s="1292" t="s">
        <v>231</v>
      </c>
      <c r="Z169" s="1293"/>
      <c r="AA169" s="1294"/>
    </row>
    <row r="170" spans="1:28" s="172" customFormat="1" ht="17.25" customHeight="1" x14ac:dyDescent="0.15">
      <c r="B170" s="553" t="s">
        <v>257</v>
      </c>
      <c r="C170" s="554"/>
      <c r="D170" s="555"/>
      <c r="E170" s="227" t="str">
        <f>IF(B170="","",B170&amp;F$154)</f>
        <v>技術職42095</v>
      </c>
      <c r="F170" s="1281" t="str">
        <f>IF(B170=""," 9～11年前採用者の10年後継続雇用割合の男女比　　　　　　　　　 上記ア","〔"&amp;S15&amp;"～"&amp;T17&amp;"採用者〕の"&amp;O16&amp;"における継続雇用割合の男女比（上記ア）")</f>
        <v>〔平成28～26年採用者〕の令和7年における継続雇用割合の男女比（上記ア）</v>
      </c>
      <c r="G170" s="1270"/>
      <c r="H170" s="1270"/>
      <c r="I170" s="1270"/>
      <c r="J170" s="1270"/>
      <c r="K170" s="1270"/>
      <c r="L170" s="1270"/>
      <c r="M170" s="1270"/>
      <c r="N170" s="1270"/>
      <c r="O170" s="1270"/>
      <c r="P170" s="1270"/>
      <c r="Q170" s="1270"/>
      <c r="R170" s="1270"/>
      <c r="S170" s="1270"/>
      <c r="T170" s="1270"/>
      <c r="U170" s="1270"/>
      <c r="V170" s="1270"/>
      <c r="W170" s="1270"/>
      <c r="X170" s="1271"/>
      <c r="Y170" s="1027">
        <f>IF(B170="","",VLOOKUP(E170,E$153:Y$164,19,FALSE))</f>
        <v>0.5</v>
      </c>
      <c r="Z170" s="1028"/>
      <c r="AA170" s="1282"/>
    </row>
    <row r="171" spans="1:28" s="172" customFormat="1" ht="17.25" customHeight="1" x14ac:dyDescent="0.15">
      <c r="B171" s="564"/>
      <c r="C171" s="1068"/>
      <c r="D171" s="565"/>
      <c r="E171" s="228" t="str">
        <f>IF(B170="","",B170&amp;DATE(YEAR($I$27)-11,MONTH($I$27),DAY($I$27))&amp;"その2")</f>
        <v>技術職41730その2</v>
      </c>
      <c r="F171" s="1281" t="str">
        <f>IF(B170="","10～12年前採用者の　　　　　　〃　　　　　　（アの1年ずつ前）　別紙イ","〔"&amp;S16&amp;"～"&amp;T18&amp;"採用者〕の"&amp;O17&amp;"における　　　　　〃　　　　　別紙イ")</f>
        <v>〔平成27～25年採用者〕の令和6年における　　　　　〃　　　　　別紙イ</v>
      </c>
      <c r="G171" s="1270"/>
      <c r="H171" s="1270"/>
      <c r="I171" s="1270"/>
      <c r="J171" s="1270"/>
      <c r="K171" s="1270"/>
      <c r="L171" s="1270"/>
      <c r="M171" s="1270"/>
      <c r="N171" s="1270"/>
      <c r="O171" s="1270"/>
      <c r="P171" s="1270"/>
      <c r="Q171" s="1270"/>
      <c r="R171" s="1270"/>
      <c r="S171" s="1270"/>
      <c r="T171" s="1270"/>
      <c r="U171" s="1270"/>
      <c r="V171" s="1270"/>
      <c r="W171" s="1270"/>
      <c r="X171" s="1271"/>
      <c r="Y171" s="1027">
        <f>IF(B170="","",VLOOKUP(E171,$E$347:$AA$420,21,FALSE))</f>
        <v>0</v>
      </c>
      <c r="Z171" s="1028"/>
      <c r="AA171" s="1282"/>
    </row>
    <row r="172" spans="1:28" s="172" customFormat="1" ht="17.25" customHeight="1" x14ac:dyDescent="0.15">
      <c r="B172" s="564"/>
      <c r="C172" s="1068"/>
      <c r="D172" s="565"/>
      <c r="E172" s="228" t="str">
        <f>IF(B170="","",B170&amp;DATE(YEAR($I$27)-12,MONTH($I$27),DAY($I$27)))</f>
        <v>技術職41365</v>
      </c>
      <c r="F172" s="1281" t="str">
        <f>IF(B170="","11～13年前採用者の　　　　　　〃　　　　　　（アの2年ずつ前）　別紙ウ","〔"&amp;S17&amp;"～"&amp;T19&amp;"採用者〕の"&amp;O18&amp;"における　　　　　〃　　　　　別紙ウ")</f>
        <v>〔平成26～24年採用者〕の令和5年における　　　　　〃　　　　　別紙ウ</v>
      </c>
      <c r="G172" s="1270"/>
      <c r="H172" s="1270"/>
      <c r="I172" s="1270"/>
      <c r="J172" s="1270"/>
      <c r="K172" s="1270"/>
      <c r="L172" s="1270"/>
      <c r="M172" s="1270"/>
      <c r="N172" s="1270"/>
      <c r="O172" s="1270"/>
      <c r="P172" s="1270"/>
      <c r="Q172" s="1270"/>
      <c r="R172" s="1270"/>
      <c r="S172" s="1270"/>
      <c r="T172" s="1270"/>
      <c r="U172" s="1270"/>
      <c r="V172" s="1270"/>
      <c r="W172" s="1270"/>
      <c r="X172" s="1271"/>
      <c r="Y172" s="1027">
        <f>IF(B170="","",VLOOKUP(E172,$E$347:$AA$420,21,FALSE))</f>
        <v>1.25</v>
      </c>
      <c r="Z172" s="1028"/>
      <c r="AA172" s="1282"/>
    </row>
    <row r="173" spans="1:28" s="172" customFormat="1" ht="17.25" customHeight="1" x14ac:dyDescent="0.15">
      <c r="B173" s="564"/>
      <c r="C173" s="1068"/>
      <c r="D173" s="565"/>
      <c r="E173" s="228" t="str">
        <f>IF(B170="","",B170&amp;DATE(YEAR($I$27)-13,MONTH($I$27),DAY($I$27)))</f>
        <v>技術職41000</v>
      </c>
      <c r="F173" s="1281" t="str">
        <f>IF(B170="","12～14年前採用者の　　　　　　〃　　　　　　（アの3年ずつ前）　別紙エ","〔"&amp;S18&amp;"～"&amp;T20&amp;"採用者〕の"&amp;O19&amp;"における　　　　　〃　　　　　別紙エ")</f>
        <v>〔平成25～23年採用者〕の令和4年における　　　　　〃　　　　　別紙エ</v>
      </c>
      <c r="G173" s="1270"/>
      <c r="H173" s="1270"/>
      <c r="I173" s="1270"/>
      <c r="J173" s="1270"/>
      <c r="K173" s="1270"/>
      <c r="L173" s="1270"/>
      <c r="M173" s="1270"/>
      <c r="N173" s="1270"/>
      <c r="O173" s="1270"/>
      <c r="P173" s="1270"/>
      <c r="Q173" s="1270"/>
      <c r="R173" s="1270"/>
      <c r="S173" s="1270"/>
      <c r="T173" s="1270"/>
      <c r="U173" s="1270"/>
      <c r="V173" s="1270"/>
      <c r="W173" s="1270"/>
      <c r="X173" s="1271"/>
      <c r="Y173" s="1027">
        <f>IF(B170="","",VLOOKUP(E173,$E$347:$AA$420,21,FALSE))</f>
        <v>2</v>
      </c>
      <c r="Z173" s="1028"/>
      <c r="AA173" s="1282"/>
    </row>
    <row r="174" spans="1:28" s="172" customFormat="1" ht="17.25" customHeight="1" thickBot="1" x14ac:dyDescent="0.2">
      <c r="B174" s="564"/>
      <c r="C174" s="1068"/>
      <c r="D174" s="565"/>
      <c r="E174" s="228" t="str">
        <f>IF(B170="","",B170&amp;DATE(YEAR($I$27)-14,MONTH($I$27),DAY($I$27)))</f>
        <v>技術職40634</v>
      </c>
      <c r="F174" s="1281" t="str">
        <f>IF(B170="","13～15年前採用者の　　　　　　〃　　　　　　（アの4年ずつ前）　別紙オ","〔"&amp;S19&amp;"～"&amp;T21&amp;"採用者〕の"&amp;O20&amp;"における　　　　　〃　　　　　別紙オ")</f>
        <v>〔平成24～22年採用者〕の令和3年における　　　　　〃　　　　　別紙オ</v>
      </c>
      <c r="G174" s="1270"/>
      <c r="H174" s="1270"/>
      <c r="I174" s="1283"/>
      <c r="J174" s="1283"/>
      <c r="K174" s="1283"/>
      <c r="L174" s="1283"/>
      <c r="M174" s="1283"/>
      <c r="N174" s="1283"/>
      <c r="O174" s="1283"/>
      <c r="P174" s="1283"/>
      <c r="Q174" s="1283"/>
      <c r="R174" s="1283"/>
      <c r="S174" s="1283"/>
      <c r="T174" s="1283"/>
      <c r="U174" s="1283"/>
      <c r="V174" s="1283"/>
      <c r="W174" s="1283"/>
      <c r="X174" s="1284"/>
      <c r="Y174" s="1257" t="str">
        <f>IF(B170="","",VLOOKUP(E174,$E$347:$AA$420,21,FALSE))</f>
        <v>－</v>
      </c>
      <c r="Z174" s="1258"/>
      <c r="AA174" s="1259"/>
    </row>
    <row r="175" spans="1:28" s="172" customFormat="1" ht="17.25" customHeight="1" x14ac:dyDescent="0.15">
      <c r="B175" s="564"/>
      <c r="C175" s="1068"/>
      <c r="D175" s="565"/>
      <c r="E175" s="248" t="str">
        <f>B170&amp;1</f>
        <v>技術職1</v>
      </c>
      <c r="F175" s="1260"/>
      <c r="G175" s="1261"/>
      <c r="H175" s="1261"/>
      <c r="I175" s="1266" t="str">
        <f>IF(B170=""," 9～13年前採用者の３事業年度ごとの平均（ア～ウの平均）","〔"&amp;S15&amp;"～"&amp;T19&amp;"採用者〕の３事業年度ごとの平均（ア～ウの平均）")</f>
        <v>〔平成28～24年採用者〕の３事業年度ごとの平均（ア～ウの平均）</v>
      </c>
      <c r="J175" s="1267"/>
      <c r="K175" s="1267"/>
      <c r="L175" s="1267"/>
      <c r="M175" s="1267"/>
      <c r="N175" s="1267"/>
      <c r="O175" s="1267"/>
      <c r="P175" s="1267"/>
      <c r="Q175" s="1267"/>
      <c r="R175" s="1267"/>
      <c r="S175" s="1267"/>
      <c r="T175" s="1267"/>
      <c r="U175" s="1267"/>
      <c r="V175" s="1267"/>
      <c r="W175" s="1267"/>
      <c r="X175" s="1268"/>
      <c r="Y175" s="1024">
        <f>IF(B170="","",VLOOKUP(E175,$E$347:$AA$420,21,FALSE))</f>
        <v>0.58299999999999996</v>
      </c>
      <c r="Z175" s="1025"/>
      <c r="AA175" s="1026"/>
    </row>
    <row r="176" spans="1:28" s="172" customFormat="1" ht="17.25" customHeight="1" x14ac:dyDescent="0.15">
      <c r="B176" s="564"/>
      <c r="C176" s="1068"/>
      <c r="D176" s="565"/>
      <c r="E176" s="248" t="str">
        <f>B170&amp;2</f>
        <v>技術職2</v>
      </c>
      <c r="F176" s="1262"/>
      <c r="G176" s="1263"/>
      <c r="H176" s="1263"/>
      <c r="I176" s="1269" t="str">
        <f>IF(B170="","10～14年前採用者の　　　　　〃　　　　（イ～エの平均）","〔"&amp;S16&amp;"～"&amp;T20&amp;"採用者〕の　　　　　〃　　　　（イ～エの平均）")</f>
        <v>〔平成27～23年採用者〕の　　　　　〃　　　　（イ～エの平均）</v>
      </c>
      <c r="J176" s="1270"/>
      <c r="K176" s="1270"/>
      <c r="L176" s="1270"/>
      <c r="M176" s="1270"/>
      <c r="N176" s="1270"/>
      <c r="O176" s="1270"/>
      <c r="P176" s="1270"/>
      <c r="Q176" s="1270"/>
      <c r="R176" s="1270"/>
      <c r="S176" s="1270"/>
      <c r="T176" s="1270"/>
      <c r="U176" s="1270"/>
      <c r="V176" s="1270"/>
      <c r="W176" s="1270"/>
      <c r="X176" s="1271"/>
      <c r="Y176" s="1027">
        <f>IF(B170="","",VLOOKUP(E176,$E$347:$AA$420,21,FALSE))</f>
        <v>1.083</v>
      </c>
      <c r="Z176" s="1028"/>
      <c r="AA176" s="1029"/>
    </row>
    <row r="177" spans="2:27" s="172" customFormat="1" ht="17.25" customHeight="1" thickBot="1" x14ac:dyDescent="0.2">
      <c r="B177" s="566"/>
      <c r="C177" s="567"/>
      <c r="D177" s="568"/>
      <c r="E177" s="249" t="str">
        <f>B170&amp;3</f>
        <v>技術職3</v>
      </c>
      <c r="F177" s="1264"/>
      <c r="G177" s="1265"/>
      <c r="H177" s="1265"/>
      <c r="I177" s="1272" t="str">
        <f>IF(B170="","11～15年前採用者の　　　　　〃　　　　（ウ～オの平均）","〔"&amp;S17&amp;"～"&amp;T21&amp;"採用者〕の　　　　　〃　　　　（ウ～オの平均）")</f>
        <v>〔平成26～22年採用者〕の　　　　　〃　　　　（ウ～オの平均）</v>
      </c>
      <c r="J177" s="1273"/>
      <c r="K177" s="1273"/>
      <c r="L177" s="1273"/>
      <c r="M177" s="1273"/>
      <c r="N177" s="1273"/>
      <c r="O177" s="1273"/>
      <c r="P177" s="1273"/>
      <c r="Q177" s="1273"/>
      <c r="R177" s="1273"/>
      <c r="S177" s="1273"/>
      <c r="T177" s="1273"/>
      <c r="U177" s="1273"/>
      <c r="V177" s="1273"/>
      <c r="W177" s="1273"/>
      <c r="X177" s="1274"/>
      <c r="Y177" s="1030" t="str">
        <f>IF(B170="","",VLOOKUP(E177,$E$347:$AA$420,21,FALSE))</f>
        <v>算出不能</v>
      </c>
      <c r="Z177" s="1031"/>
      <c r="AA177" s="1032"/>
    </row>
    <row r="178" spans="2:27" s="172" customFormat="1" ht="17.25" customHeight="1" x14ac:dyDescent="0.15">
      <c r="B178" s="553" t="s">
        <v>266</v>
      </c>
      <c r="C178" s="554"/>
      <c r="D178" s="555"/>
      <c r="E178" s="227" t="str">
        <f>IF(B178="","",B178&amp;F$154)</f>
        <v>パート技術職42095</v>
      </c>
      <c r="F178" s="1281" t="str">
        <f>IF(B178=""," 9～11年前採用者の10年後継続雇用割合の男女比　　　　　　　　　 上記ア","〔"&amp;S15&amp;"～"&amp;T17&amp;"採用者〕の"&amp;O16&amp;"における継続雇用割合の男女比（上記ア）")</f>
        <v>〔平成28～26年採用者〕の令和7年における継続雇用割合の男女比（上記ア）</v>
      </c>
      <c r="G178" s="1270"/>
      <c r="H178" s="1270"/>
      <c r="I178" s="1276"/>
      <c r="J178" s="1276"/>
      <c r="K178" s="1276"/>
      <c r="L178" s="1276"/>
      <c r="M178" s="1276"/>
      <c r="N178" s="1276"/>
      <c r="O178" s="1276"/>
      <c r="P178" s="1276"/>
      <c r="Q178" s="1276"/>
      <c r="R178" s="1276"/>
      <c r="S178" s="1276"/>
      <c r="T178" s="1276"/>
      <c r="U178" s="1276"/>
      <c r="V178" s="1276"/>
      <c r="W178" s="1276"/>
      <c r="X178" s="1277"/>
      <c r="Y178" s="1278" t="str">
        <f>IF(B178="","",VLOOKUP(E178,E$153:Y$164,19,FALSE))</f>
        <v>－</v>
      </c>
      <c r="Z178" s="1279"/>
      <c r="AA178" s="1280"/>
    </row>
    <row r="179" spans="2:27" s="172" customFormat="1" ht="17.25" customHeight="1" x14ac:dyDescent="0.15">
      <c r="B179" s="564"/>
      <c r="C179" s="1068"/>
      <c r="D179" s="565"/>
      <c r="E179" s="228" t="str">
        <f>IF(B178="","",B178&amp;DATE(YEAR($I$27)-11,MONTH($I$27),DAY($I$27))&amp;"その2")</f>
        <v>パート技術職41730その2</v>
      </c>
      <c r="F179" s="1281" t="str">
        <f>IF(B178="","10～12年前採用者の　　　　　　〃　　　　　　（アの1年ずつ前）　別紙イ","〔"&amp;S16&amp;"～"&amp;T18&amp;"採用者〕の"&amp;O17&amp;"における　　　　　〃　　　　　別紙イ")</f>
        <v>〔平成27～25年採用者〕の令和6年における　　　　　〃　　　　　別紙イ</v>
      </c>
      <c r="G179" s="1270"/>
      <c r="H179" s="1270"/>
      <c r="I179" s="1270"/>
      <c r="J179" s="1270"/>
      <c r="K179" s="1270"/>
      <c r="L179" s="1270"/>
      <c r="M179" s="1270"/>
      <c r="N179" s="1270"/>
      <c r="O179" s="1270"/>
      <c r="P179" s="1270"/>
      <c r="Q179" s="1270"/>
      <c r="R179" s="1270"/>
      <c r="S179" s="1270"/>
      <c r="T179" s="1270"/>
      <c r="U179" s="1270"/>
      <c r="V179" s="1270"/>
      <c r="W179" s="1270"/>
      <c r="X179" s="1271"/>
      <c r="Y179" s="1027" t="str">
        <f>IF(B178="","",VLOOKUP(E179,$E$347:$AA$420,21,FALSE))</f>
        <v>－</v>
      </c>
      <c r="Z179" s="1028"/>
      <c r="AA179" s="1282"/>
    </row>
    <row r="180" spans="2:27" s="172" customFormat="1" ht="17.25" customHeight="1" x14ac:dyDescent="0.15">
      <c r="B180" s="564"/>
      <c r="C180" s="1068"/>
      <c r="D180" s="565"/>
      <c r="E180" s="228" t="str">
        <f>IF(B178="","",B178&amp;DATE(YEAR($I$27)-12,MONTH($I$27),DAY($I$27)))</f>
        <v>パート技術職41365</v>
      </c>
      <c r="F180" s="1281" t="str">
        <f>IF(B178="","11～13年前採用者の　　　　　　〃　　　　　　（アの2年ずつ前）　別紙ウ","〔"&amp;S17&amp;"～"&amp;T19&amp;"採用者〕の"&amp;O18&amp;"における　　　　　〃　　　　　別紙ウ")</f>
        <v>〔平成26～24年採用者〕の令和5年における　　　　　〃　　　　　別紙ウ</v>
      </c>
      <c r="G180" s="1270"/>
      <c r="H180" s="1270"/>
      <c r="I180" s="1270"/>
      <c r="J180" s="1270"/>
      <c r="K180" s="1270"/>
      <c r="L180" s="1270"/>
      <c r="M180" s="1270"/>
      <c r="N180" s="1270"/>
      <c r="O180" s="1270"/>
      <c r="P180" s="1270"/>
      <c r="Q180" s="1270"/>
      <c r="R180" s="1270"/>
      <c r="S180" s="1270"/>
      <c r="T180" s="1270"/>
      <c r="U180" s="1270"/>
      <c r="V180" s="1270"/>
      <c r="W180" s="1270"/>
      <c r="X180" s="1271"/>
      <c r="Y180" s="1027">
        <f>IF(B178="","",VLOOKUP(E180,$E$347:$AA$420,21,FALSE))</f>
        <v>0.33</v>
      </c>
      <c r="Z180" s="1028"/>
      <c r="AA180" s="1282"/>
    </row>
    <row r="181" spans="2:27" s="172" customFormat="1" ht="17.25" customHeight="1" x14ac:dyDescent="0.15">
      <c r="B181" s="564"/>
      <c r="C181" s="1068"/>
      <c r="D181" s="565"/>
      <c r="E181" s="228" t="str">
        <f>IF(B178="","",B178&amp;DATE(YEAR($I$27)-13,MONTH($I$27),DAY($I$27)))</f>
        <v>パート技術職41000</v>
      </c>
      <c r="F181" s="1281" t="str">
        <f>IF(B178="","12～14年前採用者の　　　　　　〃　　　　　　（アの3年ずつ前）　別紙エ","〔"&amp;S18&amp;"～"&amp;T20&amp;"採用者〕の"&amp;O19&amp;"における　　　　　〃　　　　　別紙エ")</f>
        <v>〔平成25～23年採用者〕の令和4年における　　　　　〃　　　　　別紙エ</v>
      </c>
      <c r="G181" s="1270"/>
      <c r="H181" s="1270"/>
      <c r="I181" s="1270"/>
      <c r="J181" s="1270"/>
      <c r="K181" s="1270"/>
      <c r="L181" s="1270"/>
      <c r="M181" s="1270"/>
      <c r="N181" s="1270"/>
      <c r="O181" s="1270"/>
      <c r="P181" s="1270"/>
      <c r="Q181" s="1270"/>
      <c r="R181" s="1270"/>
      <c r="S181" s="1270"/>
      <c r="T181" s="1270"/>
      <c r="U181" s="1270"/>
      <c r="V181" s="1270"/>
      <c r="W181" s="1270"/>
      <c r="X181" s="1271"/>
      <c r="Y181" s="1027">
        <f>IF(B178="","",VLOOKUP(E181,$E$347:$AA$420,21,FALSE))</f>
        <v>1.33</v>
      </c>
      <c r="Z181" s="1028"/>
      <c r="AA181" s="1282"/>
    </row>
    <row r="182" spans="2:27" s="172" customFormat="1" ht="17.25" customHeight="1" thickBot="1" x14ac:dyDescent="0.2">
      <c r="B182" s="564"/>
      <c r="C182" s="1068"/>
      <c r="D182" s="565"/>
      <c r="E182" s="228" t="str">
        <f>IF(B178="","",B178&amp;DATE(YEAR($I$27)-14,MONTH($I$27),DAY($I$27)))</f>
        <v>パート技術職40634</v>
      </c>
      <c r="F182" s="1281" t="str">
        <f>IF(B178="","13～15年前採用者の　　　　　　〃　　　　　　（アの4年ずつ前）　別紙オ","〔"&amp;S19&amp;"～"&amp;T21&amp;"採用者〕の"&amp;O20&amp;"における　　　　　〃　　　　　別紙オ")</f>
        <v>〔平成24～22年採用者〕の令和3年における　　　　　〃　　　　　別紙オ</v>
      </c>
      <c r="G182" s="1270"/>
      <c r="H182" s="1270"/>
      <c r="I182" s="1283"/>
      <c r="J182" s="1283"/>
      <c r="K182" s="1283"/>
      <c r="L182" s="1283"/>
      <c r="M182" s="1283"/>
      <c r="N182" s="1283"/>
      <c r="O182" s="1283"/>
      <c r="P182" s="1283"/>
      <c r="Q182" s="1283"/>
      <c r="R182" s="1283"/>
      <c r="S182" s="1283"/>
      <c r="T182" s="1283"/>
      <c r="U182" s="1283"/>
      <c r="V182" s="1283"/>
      <c r="W182" s="1283"/>
      <c r="X182" s="1284"/>
      <c r="Y182" s="1257" t="str">
        <f>IF(B178="","",VLOOKUP(E182,$E$347:$AA$420,21,FALSE))</f>
        <v>－</v>
      </c>
      <c r="Z182" s="1258"/>
      <c r="AA182" s="1259"/>
    </row>
    <row r="183" spans="2:27" s="172" customFormat="1" ht="17.25" customHeight="1" x14ac:dyDescent="0.15">
      <c r="B183" s="564"/>
      <c r="C183" s="1068"/>
      <c r="D183" s="565"/>
      <c r="E183" s="248" t="str">
        <f>B178&amp;1</f>
        <v>パート技術職1</v>
      </c>
      <c r="F183" s="1260"/>
      <c r="G183" s="1261"/>
      <c r="H183" s="1261"/>
      <c r="I183" s="1266" t="str">
        <f>IF(B178=""," 9～13年前採用者の３事業年度ごとの平均（ア～ウの平均）","〔"&amp;S15&amp;"～"&amp;T19&amp;"採用者〕の３事業年度ごとの平均（ア～ウの平均）")</f>
        <v>〔平成28～24年採用者〕の３事業年度ごとの平均（ア～ウの平均）</v>
      </c>
      <c r="J183" s="1267"/>
      <c r="K183" s="1267"/>
      <c r="L183" s="1267"/>
      <c r="M183" s="1267"/>
      <c r="N183" s="1267"/>
      <c r="O183" s="1267"/>
      <c r="P183" s="1267"/>
      <c r="Q183" s="1267"/>
      <c r="R183" s="1267"/>
      <c r="S183" s="1267"/>
      <c r="T183" s="1267"/>
      <c r="U183" s="1267"/>
      <c r="V183" s="1267"/>
      <c r="W183" s="1267"/>
      <c r="X183" s="1268"/>
      <c r="Y183" s="1024" t="str">
        <f>IF(B178="","",VLOOKUP(E183,$E$347:$AA$420,21,FALSE))</f>
        <v>算出不能</v>
      </c>
      <c r="Z183" s="1025"/>
      <c r="AA183" s="1026"/>
    </row>
    <row r="184" spans="2:27" s="172" customFormat="1" ht="17.25" customHeight="1" x14ac:dyDescent="0.15">
      <c r="B184" s="564"/>
      <c r="C184" s="1068"/>
      <c r="D184" s="565"/>
      <c r="E184" s="248" t="str">
        <f>B178&amp;2</f>
        <v>パート技術職2</v>
      </c>
      <c r="F184" s="1262"/>
      <c r="G184" s="1263"/>
      <c r="H184" s="1263"/>
      <c r="I184" s="1269" t="str">
        <f>IF(B178="","10～14年前採用者の　　　　　〃　　　　（イ～エの平均）","〔"&amp;S16&amp;"～"&amp;T20&amp;"採用者〕の　　　　　〃　　　　（イ～エの平均）")</f>
        <v>〔平成27～23年採用者〕の　　　　　〃　　　　（イ～エの平均）</v>
      </c>
      <c r="J184" s="1270"/>
      <c r="K184" s="1270"/>
      <c r="L184" s="1270"/>
      <c r="M184" s="1270"/>
      <c r="N184" s="1270"/>
      <c r="O184" s="1270"/>
      <c r="P184" s="1270"/>
      <c r="Q184" s="1270"/>
      <c r="R184" s="1270"/>
      <c r="S184" s="1270"/>
      <c r="T184" s="1270"/>
      <c r="U184" s="1270"/>
      <c r="V184" s="1270"/>
      <c r="W184" s="1270"/>
      <c r="X184" s="1271"/>
      <c r="Y184" s="1027" t="str">
        <f>IF(B178="","",VLOOKUP(E184,$E$347:$AA$420,21,FALSE))</f>
        <v>算出不能</v>
      </c>
      <c r="Z184" s="1028"/>
      <c r="AA184" s="1029"/>
    </row>
    <row r="185" spans="2:27" s="172" customFormat="1" ht="17.25" customHeight="1" thickBot="1" x14ac:dyDescent="0.2">
      <c r="B185" s="566"/>
      <c r="C185" s="567"/>
      <c r="D185" s="568"/>
      <c r="E185" s="249" t="str">
        <f>B178&amp;3</f>
        <v>パート技術職3</v>
      </c>
      <c r="F185" s="1264"/>
      <c r="G185" s="1265"/>
      <c r="H185" s="1265"/>
      <c r="I185" s="1272" t="str">
        <f>IF(B178="","11～15年前採用者の　　　　　〃　　　　（ウ～オの平均）","〔"&amp;S17&amp;"～"&amp;T21&amp;"採用者〕の　　　　　〃　　　　（ウ～オの平均）")</f>
        <v>〔平成26～22年採用者〕の　　　　　〃　　　　（ウ～オの平均）</v>
      </c>
      <c r="J185" s="1273"/>
      <c r="K185" s="1273"/>
      <c r="L185" s="1273"/>
      <c r="M185" s="1273"/>
      <c r="N185" s="1273"/>
      <c r="O185" s="1273"/>
      <c r="P185" s="1273"/>
      <c r="Q185" s="1273"/>
      <c r="R185" s="1273"/>
      <c r="S185" s="1273"/>
      <c r="T185" s="1273"/>
      <c r="U185" s="1273"/>
      <c r="V185" s="1273"/>
      <c r="W185" s="1273"/>
      <c r="X185" s="1274"/>
      <c r="Y185" s="1030" t="str">
        <f>IF(B178="","",VLOOKUP(E185,$E$347:$AA$420,21,FALSE))</f>
        <v>算出不能</v>
      </c>
      <c r="Z185" s="1031"/>
      <c r="AA185" s="1032"/>
    </row>
    <row r="186" spans="2:27" s="172" customFormat="1" ht="17.25" customHeight="1" x14ac:dyDescent="0.15">
      <c r="B186" s="564"/>
      <c r="C186" s="1068"/>
      <c r="D186" s="565"/>
      <c r="E186" s="228" t="str">
        <f>IF(B186="","",B186&amp;F$154)</f>
        <v/>
      </c>
      <c r="F186" s="1275" t="str">
        <f>IF(B186=""," 9～11年前採用者の10年後継続雇用割合の男女比　　　　　　　　　 上記ア","〔"&amp;S15&amp;"～"&amp;T17&amp;"採用者〕の"&amp;O16&amp;"における継続雇用割合の男女比（上記ア）")</f>
        <v xml:space="preserve"> 9～11年前採用者の10年後継続雇用割合の男女比　　　　　　　　　 上記ア</v>
      </c>
      <c r="G186" s="1276"/>
      <c r="H186" s="1276"/>
      <c r="I186" s="1276"/>
      <c r="J186" s="1276"/>
      <c r="K186" s="1276"/>
      <c r="L186" s="1276"/>
      <c r="M186" s="1276"/>
      <c r="N186" s="1276"/>
      <c r="O186" s="1276"/>
      <c r="P186" s="1276"/>
      <c r="Q186" s="1276"/>
      <c r="R186" s="1276"/>
      <c r="S186" s="1276"/>
      <c r="T186" s="1276"/>
      <c r="U186" s="1276"/>
      <c r="V186" s="1276"/>
      <c r="W186" s="1276"/>
      <c r="X186" s="1277"/>
      <c r="Y186" s="1278" t="str">
        <f>IF(B186="","",VLOOKUP(E186,E$153:Y$164,19,FALSE))</f>
        <v/>
      </c>
      <c r="Z186" s="1279"/>
      <c r="AA186" s="1280"/>
    </row>
    <row r="187" spans="2:27" s="172" customFormat="1" ht="17.25" customHeight="1" x14ac:dyDescent="0.15">
      <c r="B187" s="564"/>
      <c r="C187" s="1068"/>
      <c r="D187" s="565"/>
      <c r="E187" s="228" t="str">
        <f>IF(B186="","",B186&amp;DATE(YEAR($I$27)-11,MONTH($I$27),DAY($I$27))&amp;"その2")</f>
        <v/>
      </c>
      <c r="F187" s="1281" t="str">
        <f>IF(B186="","10～12年前採用者の　　　　　　〃　　　　　　（アの1年ずつ前）　別紙イ","〔"&amp;S16&amp;"～"&amp;T18&amp;"採用者〕の"&amp;O17&amp;"における　　　　　〃　　　　　別紙イ")</f>
        <v>10～12年前採用者の　　　　　　〃　　　　　　（アの1年ずつ前）　別紙イ</v>
      </c>
      <c r="G187" s="1270"/>
      <c r="H187" s="1270"/>
      <c r="I187" s="1270"/>
      <c r="J187" s="1270"/>
      <c r="K187" s="1270"/>
      <c r="L187" s="1270"/>
      <c r="M187" s="1270"/>
      <c r="N187" s="1270"/>
      <c r="O187" s="1270"/>
      <c r="P187" s="1270"/>
      <c r="Q187" s="1270"/>
      <c r="R187" s="1270"/>
      <c r="S187" s="1270"/>
      <c r="T187" s="1270"/>
      <c r="U187" s="1270"/>
      <c r="V187" s="1270"/>
      <c r="W187" s="1270"/>
      <c r="X187" s="1271"/>
      <c r="Y187" s="1027" t="str">
        <f>IF(B186="","",VLOOKUP(E187,$E$347:$AA$420,21,FALSE))</f>
        <v/>
      </c>
      <c r="Z187" s="1028"/>
      <c r="AA187" s="1282"/>
    </row>
    <row r="188" spans="2:27" s="172" customFormat="1" ht="17.25" customHeight="1" x14ac:dyDescent="0.15">
      <c r="B188" s="564"/>
      <c r="C188" s="1068"/>
      <c r="D188" s="565"/>
      <c r="E188" s="228" t="str">
        <f>IF(B186="","",B186&amp;DATE(YEAR($I$27)-12,MONTH($I$27),DAY($I$27)))</f>
        <v/>
      </c>
      <c r="F188" s="1281" t="str">
        <f>IF(B186="","11～13年前採用者の　　　　　　〃　　　　　　（アの2年ずつ前）　別紙ウ","〔"&amp;S17&amp;"～"&amp;T19&amp;"採用者〕の"&amp;O18&amp;"における　　　　　〃　　　　　別紙ウ")</f>
        <v>11～13年前採用者の　　　　　　〃　　　　　　（アの2年ずつ前）　別紙ウ</v>
      </c>
      <c r="G188" s="1270"/>
      <c r="H188" s="1270"/>
      <c r="I188" s="1270"/>
      <c r="J188" s="1270"/>
      <c r="K188" s="1270"/>
      <c r="L188" s="1270"/>
      <c r="M188" s="1270"/>
      <c r="N188" s="1270"/>
      <c r="O188" s="1270"/>
      <c r="P188" s="1270"/>
      <c r="Q188" s="1270"/>
      <c r="R188" s="1270"/>
      <c r="S188" s="1270"/>
      <c r="T188" s="1270"/>
      <c r="U188" s="1270"/>
      <c r="V188" s="1270"/>
      <c r="W188" s="1270"/>
      <c r="X188" s="1271"/>
      <c r="Y188" s="1027" t="str">
        <f>IF(B186="","",VLOOKUP(E188,$E$347:$AA$420,21,FALSE))</f>
        <v/>
      </c>
      <c r="Z188" s="1028"/>
      <c r="AA188" s="1282"/>
    </row>
    <row r="189" spans="2:27" s="172" customFormat="1" ht="17.25" customHeight="1" x14ac:dyDescent="0.15">
      <c r="B189" s="564"/>
      <c r="C189" s="1068"/>
      <c r="D189" s="565"/>
      <c r="E189" s="228" t="str">
        <f>IF(B186="","",B186&amp;DATE(YEAR($I$27)-13,MONTH($I$27),DAY($I$27)))</f>
        <v/>
      </c>
      <c r="F189" s="1281" t="str">
        <f>IF(B186="","12～14年前採用者の　　　　　　〃　　　　　　（アの3年ずつ前）　別紙エ","〔"&amp;S18&amp;"～"&amp;T20&amp;"採用者〕の"&amp;O19&amp;"における　　　　　〃　　　　　別紙エ")</f>
        <v>12～14年前採用者の　　　　　　〃　　　　　　（アの3年ずつ前）　別紙エ</v>
      </c>
      <c r="G189" s="1270"/>
      <c r="H189" s="1270"/>
      <c r="I189" s="1270"/>
      <c r="J189" s="1270"/>
      <c r="K189" s="1270"/>
      <c r="L189" s="1270"/>
      <c r="M189" s="1270"/>
      <c r="N189" s="1270"/>
      <c r="O189" s="1270"/>
      <c r="P189" s="1270"/>
      <c r="Q189" s="1270"/>
      <c r="R189" s="1270"/>
      <c r="S189" s="1270"/>
      <c r="T189" s="1270"/>
      <c r="U189" s="1270"/>
      <c r="V189" s="1270"/>
      <c r="W189" s="1270"/>
      <c r="X189" s="1271"/>
      <c r="Y189" s="1027" t="str">
        <f>IF(B186="","",VLOOKUP(E189,$E$347:$AA$420,21,FALSE))</f>
        <v/>
      </c>
      <c r="Z189" s="1028"/>
      <c r="AA189" s="1282"/>
    </row>
    <row r="190" spans="2:27" s="172" customFormat="1" ht="17.25" customHeight="1" thickBot="1" x14ac:dyDescent="0.2">
      <c r="B190" s="564"/>
      <c r="C190" s="1068"/>
      <c r="D190" s="565"/>
      <c r="E190" s="228" t="str">
        <f>IF(B186="","",B186&amp;DATE(YEAR($I$27)-14,MONTH($I$27),DAY($I$27)))</f>
        <v/>
      </c>
      <c r="F190" s="1281" t="str">
        <f>IF(B186="","13～15年前採用者の　　　　　　〃　　　　　　（アの4年ずつ前）　別紙オ","〔"&amp;S19&amp;"～"&amp;T21&amp;"採用者〕の"&amp;O20&amp;"における　　　　　〃　　　　　別紙オ")</f>
        <v>13～15年前採用者の　　　　　　〃　　　　　　（アの4年ずつ前）　別紙オ</v>
      </c>
      <c r="G190" s="1270"/>
      <c r="H190" s="1270"/>
      <c r="I190" s="1283"/>
      <c r="J190" s="1283"/>
      <c r="K190" s="1283"/>
      <c r="L190" s="1283"/>
      <c r="M190" s="1283"/>
      <c r="N190" s="1283"/>
      <c r="O190" s="1283"/>
      <c r="P190" s="1283"/>
      <c r="Q190" s="1283"/>
      <c r="R190" s="1283"/>
      <c r="S190" s="1283"/>
      <c r="T190" s="1283"/>
      <c r="U190" s="1283"/>
      <c r="V190" s="1283"/>
      <c r="W190" s="1283"/>
      <c r="X190" s="1284"/>
      <c r="Y190" s="1257" t="str">
        <f>IF(B186="","",VLOOKUP(E190,$E$347:$AA$420,21,FALSE))</f>
        <v/>
      </c>
      <c r="Z190" s="1258"/>
      <c r="AA190" s="1259"/>
    </row>
    <row r="191" spans="2:27" s="172" customFormat="1" ht="17.25" customHeight="1" x14ac:dyDescent="0.15">
      <c r="B191" s="564"/>
      <c r="C191" s="1068"/>
      <c r="D191" s="565"/>
      <c r="E191" s="248" t="str">
        <f>B186&amp;1</f>
        <v>1</v>
      </c>
      <c r="F191" s="1260"/>
      <c r="G191" s="1261"/>
      <c r="H191" s="1261"/>
      <c r="I191" s="1266" t="str">
        <f>IF(B186=""," 9～13年前採用者の３事業年度ごとの平均（ア～ウの平均）","〔"&amp;S15&amp;"～"&amp;T19&amp;"採用者〕の３事業年度ごとの平均（ア～ウの平均）")</f>
        <v xml:space="preserve"> 9～13年前採用者の３事業年度ごとの平均（ア～ウの平均）</v>
      </c>
      <c r="J191" s="1267"/>
      <c r="K191" s="1267"/>
      <c r="L191" s="1267"/>
      <c r="M191" s="1267"/>
      <c r="N191" s="1267"/>
      <c r="O191" s="1267"/>
      <c r="P191" s="1267"/>
      <c r="Q191" s="1267"/>
      <c r="R191" s="1267"/>
      <c r="S191" s="1267"/>
      <c r="T191" s="1267"/>
      <c r="U191" s="1267"/>
      <c r="V191" s="1267"/>
      <c r="W191" s="1267"/>
      <c r="X191" s="1268"/>
      <c r="Y191" s="1024" t="str">
        <f>IF(B186="","",VLOOKUP(E191,$E$347:$AA$420,21,FALSE))</f>
        <v/>
      </c>
      <c r="Z191" s="1025"/>
      <c r="AA191" s="1026"/>
    </row>
    <row r="192" spans="2:27" s="172" customFormat="1" ht="17.25" customHeight="1" x14ac:dyDescent="0.15">
      <c r="B192" s="564"/>
      <c r="C192" s="1068"/>
      <c r="D192" s="565"/>
      <c r="E192" s="248" t="str">
        <f>B186&amp;2</f>
        <v>2</v>
      </c>
      <c r="F192" s="1262"/>
      <c r="G192" s="1263"/>
      <c r="H192" s="1263"/>
      <c r="I192" s="1269" t="str">
        <f>IF(B186="","10～14年前採用者の　　　　　〃　　　　（イ～エの平均）","〔"&amp;S16&amp;"～"&amp;T20&amp;"採用者〕の　　　　　〃　　　　（イ～エの平均）")</f>
        <v>10～14年前採用者の　　　　　〃　　　　（イ～エの平均）</v>
      </c>
      <c r="J192" s="1270"/>
      <c r="K192" s="1270"/>
      <c r="L192" s="1270"/>
      <c r="M192" s="1270"/>
      <c r="N192" s="1270"/>
      <c r="O192" s="1270"/>
      <c r="P192" s="1270"/>
      <c r="Q192" s="1270"/>
      <c r="R192" s="1270"/>
      <c r="S192" s="1270"/>
      <c r="T192" s="1270"/>
      <c r="U192" s="1270"/>
      <c r="V192" s="1270"/>
      <c r="W192" s="1270"/>
      <c r="X192" s="1271"/>
      <c r="Y192" s="1027" t="str">
        <f>IF(B186="","",VLOOKUP(E192,$E$347:$AA$420,21,FALSE))</f>
        <v/>
      </c>
      <c r="Z192" s="1028"/>
      <c r="AA192" s="1029"/>
    </row>
    <row r="193" spans="2:27" s="172" customFormat="1" ht="17.25" customHeight="1" thickBot="1" x14ac:dyDescent="0.2">
      <c r="B193" s="566"/>
      <c r="C193" s="567"/>
      <c r="D193" s="568"/>
      <c r="E193" s="249" t="str">
        <f>B186&amp;3</f>
        <v>3</v>
      </c>
      <c r="F193" s="1264"/>
      <c r="G193" s="1265"/>
      <c r="H193" s="1265"/>
      <c r="I193" s="1272" t="str">
        <f>IF(B186="","11～15年前採用者の　　　　　〃　　　　（ウ～オの平均）","〔"&amp;S17&amp;"～"&amp;T21&amp;"採用者〕の　　　　　〃　　　　（ウ～オの平均）")</f>
        <v>11～15年前採用者の　　　　　〃　　　　（ウ～オの平均）</v>
      </c>
      <c r="J193" s="1273"/>
      <c r="K193" s="1273"/>
      <c r="L193" s="1273"/>
      <c r="M193" s="1273"/>
      <c r="N193" s="1273"/>
      <c r="O193" s="1273"/>
      <c r="P193" s="1273"/>
      <c r="Q193" s="1273"/>
      <c r="R193" s="1273"/>
      <c r="S193" s="1273"/>
      <c r="T193" s="1273"/>
      <c r="U193" s="1273"/>
      <c r="V193" s="1273"/>
      <c r="W193" s="1273"/>
      <c r="X193" s="1274"/>
      <c r="Y193" s="1030" t="str">
        <f>IF(B186="","",VLOOKUP(E193,$E$347:$AA$420,21,FALSE))</f>
        <v/>
      </c>
      <c r="Z193" s="1031"/>
      <c r="AA193" s="1032"/>
    </row>
    <row r="194" spans="2:27" s="172" customFormat="1" ht="17.25" customHeight="1" x14ac:dyDescent="0.15">
      <c r="B194" s="250"/>
      <c r="C194" s="250"/>
      <c r="D194" s="250"/>
      <c r="E194" s="233"/>
      <c r="F194" s="233"/>
      <c r="G194" s="233"/>
      <c r="H194" s="233"/>
      <c r="I194" s="247"/>
      <c r="J194" s="247"/>
      <c r="K194" s="247"/>
      <c r="L194" s="247"/>
      <c r="M194" s="247"/>
      <c r="N194" s="170"/>
      <c r="O194" s="170"/>
      <c r="P194" s="247"/>
      <c r="Q194" s="247"/>
      <c r="R194" s="247"/>
      <c r="S194" s="247"/>
      <c r="T194" s="247"/>
      <c r="U194" s="170"/>
      <c r="V194" s="170"/>
      <c r="W194" s="251"/>
      <c r="X194" s="251"/>
      <c r="Y194" s="251"/>
      <c r="Z194" s="171"/>
      <c r="AA194" s="171"/>
    </row>
    <row r="195" spans="2:27" ht="17.25" customHeight="1" x14ac:dyDescent="0.15">
      <c r="B195" s="171" t="s">
        <v>157</v>
      </c>
      <c r="AA195" s="212" t="str">
        <f>IF(G$23="","",G$23)</f>
        <v>秋田共同参画株式会社</v>
      </c>
    </row>
    <row r="196" spans="2:27" s="172" customFormat="1" ht="17.25" customHeight="1" x14ac:dyDescent="0.15"/>
    <row r="197" spans="2:27" ht="17.25" customHeight="1" thickBot="1" x14ac:dyDescent="0.2">
      <c r="B197" s="217" t="s">
        <v>131</v>
      </c>
    </row>
    <row r="198" spans="2:27" s="172" customFormat="1" ht="47.25" customHeight="1" thickTop="1" x14ac:dyDescent="0.15">
      <c r="B198" s="1254" t="s">
        <v>5</v>
      </c>
      <c r="C198" s="1255"/>
      <c r="D198" s="1255"/>
      <c r="E198" s="1255"/>
      <c r="F198" s="1255"/>
      <c r="G198" s="1227" t="s">
        <v>39</v>
      </c>
      <c r="H198" s="1256"/>
      <c r="I198" s="1256"/>
      <c r="J198" s="1256"/>
      <c r="K198" s="1228"/>
      <c r="L198" s="1105" t="s">
        <v>236</v>
      </c>
      <c r="M198" s="1156"/>
      <c r="N198" s="1156"/>
      <c r="O198" s="1156"/>
      <c r="P198" s="1156"/>
      <c r="Q198" s="1157"/>
      <c r="R198" s="1227" t="s">
        <v>35</v>
      </c>
      <c r="S198" s="1228"/>
    </row>
    <row r="199" spans="2:27" s="172" customFormat="1" ht="17.25" customHeight="1" x14ac:dyDescent="0.15">
      <c r="B199" s="1158">
        <f>IF($I$27="","",$I$27)</f>
        <v>45748</v>
      </c>
      <c r="C199" s="1159"/>
      <c r="D199" s="1159"/>
      <c r="E199" s="1159"/>
      <c r="F199" s="1159"/>
      <c r="G199" s="641">
        <v>14.8</v>
      </c>
      <c r="H199" s="642"/>
      <c r="I199" s="642"/>
      <c r="J199" s="642"/>
      <c r="K199" s="643"/>
      <c r="L199" s="1170" t="str">
        <f>IF(B199="","",IF(R26="",R25,R26))</f>
        <v>電気機械器具製造業</v>
      </c>
      <c r="M199" s="1171"/>
      <c r="N199" s="1171"/>
      <c r="O199" s="1171"/>
      <c r="P199" s="1171"/>
      <c r="Q199" s="1172"/>
      <c r="R199" s="421" t="s">
        <v>267</v>
      </c>
      <c r="S199" s="422"/>
      <c r="T199" s="1249" t="str">
        <f>IF(G23="","",IF(OR(L199="",L200=""),"←Ｂ欄上段に産業分類（製造業は中分類）を、下段に産業平均値を記載",""))</f>
        <v/>
      </c>
      <c r="U199" s="1250"/>
      <c r="V199" s="1250"/>
      <c r="W199" s="1250"/>
      <c r="X199" s="1250"/>
      <c r="Y199" s="1250"/>
      <c r="Z199" s="1250"/>
      <c r="AA199" s="1250"/>
    </row>
    <row r="200" spans="2:27" s="172" customFormat="1" ht="17.25" customHeight="1" thickBot="1" x14ac:dyDescent="0.2">
      <c r="B200" s="1161"/>
      <c r="C200" s="1162"/>
      <c r="D200" s="1162"/>
      <c r="E200" s="1162"/>
      <c r="F200" s="1162"/>
      <c r="G200" s="644"/>
      <c r="H200" s="645"/>
      <c r="I200" s="645"/>
      <c r="J200" s="645"/>
      <c r="K200" s="646"/>
      <c r="L200" s="933">
        <v>15.7</v>
      </c>
      <c r="M200" s="934"/>
      <c r="N200" s="934"/>
      <c r="O200" s="934"/>
      <c r="P200" s="934"/>
      <c r="Q200" s="935"/>
      <c r="R200" s="425"/>
      <c r="S200" s="426"/>
      <c r="T200" s="1249"/>
      <c r="U200" s="1250"/>
      <c r="V200" s="1250"/>
      <c r="W200" s="1250"/>
      <c r="X200" s="1250"/>
      <c r="Y200" s="1250"/>
      <c r="Z200" s="1250"/>
      <c r="AA200" s="1250"/>
    </row>
    <row r="201" spans="2:27" ht="17.25" customHeight="1" thickTop="1" x14ac:dyDescent="0.15">
      <c r="S201" s="165" t="str">
        <f>IF(G23="","",IF(R199="","リストから選択↑　",""))</f>
        <v/>
      </c>
    </row>
    <row r="202" spans="2:27" ht="17.25" customHeight="1" x14ac:dyDescent="0.15">
      <c r="B202" s="172" t="s">
        <v>214</v>
      </c>
      <c r="L202" s="165"/>
    </row>
    <row r="203" spans="2:27" s="172" customFormat="1" ht="47.25" customHeight="1" x14ac:dyDescent="0.15">
      <c r="B203" s="1085" t="s">
        <v>185</v>
      </c>
      <c r="C203" s="1086"/>
      <c r="D203" s="1086"/>
      <c r="E203" s="1086"/>
      <c r="F203" s="1087"/>
      <c r="G203" s="1085" t="s">
        <v>186</v>
      </c>
      <c r="H203" s="1086"/>
      <c r="I203" s="1086"/>
      <c r="J203" s="1086"/>
      <c r="K203" s="1087"/>
      <c r="L203" s="165"/>
    </row>
    <row r="204" spans="2:27" s="176" customFormat="1" ht="17.25" customHeight="1" x14ac:dyDescent="0.15">
      <c r="B204" s="1079">
        <f>IF($R$199="非該当",DATE(YEAR($I$27)-1,MONTH($I$27),DAY($I$27)),"")</f>
        <v>45383</v>
      </c>
      <c r="C204" s="1080"/>
      <c r="D204" s="1080"/>
      <c r="E204" s="1080"/>
      <c r="F204" s="1081"/>
      <c r="G204" s="631">
        <v>13.7</v>
      </c>
      <c r="H204" s="632"/>
      <c r="I204" s="632"/>
      <c r="J204" s="632"/>
      <c r="K204" s="633"/>
      <c r="L204" s="1251" t="s">
        <v>187</v>
      </c>
      <c r="M204" s="1252"/>
      <c r="N204" s="1252"/>
      <c r="O204" s="1252"/>
      <c r="P204" s="1252"/>
      <c r="Q204" s="1252"/>
      <c r="R204" s="1252"/>
      <c r="S204" s="1253"/>
    </row>
    <row r="205" spans="2:27" s="176" customFormat="1" ht="17.25" customHeight="1" x14ac:dyDescent="0.15">
      <c r="B205" s="1079">
        <f>IF($R$199="非該当",DATE(YEAR($I$27)-2,MONTH($I$27),DAY($I$27)),"")</f>
        <v>45017</v>
      </c>
      <c r="C205" s="1080"/>
      <c r="D205" s="1080"/>
      <c r="E205" s="1080"/>
      <c r="F205" s="1081"/>
      <c r="G205" s="631">
        <v>13.9</v>
      </c>
      <c r="H205" s="632"/>
      <c r="I205" s="632"/>
      <c r="J205" s="632"/>
      <c r="K205" s="633"/>
      <c r="L205" s="1153" t="str">
        <f>IF(B205="","～",P16&amp;"～"&amp;Q18)</f>
        <v>令和7～5年</v>
      </c>
      <c r="M205" s="1154"/>
      <c r="N205" s="1154"/>
      <c r="O205" s="1155"/>
      <c r="P205" s="1246">
        <f>IF(B205="","",ROUND(AVERAGE(G199,G204,G205),1))</f>
        <v>14.1</v>
      </c>
      <c r="Q205" s="1247"/>
      <c r="R205" s="1247"/>
      <c r="S205" s="1248"/>
      <c r="T205" s="252"/>
      <c r="V205" s="252"/>
      <c r="W205" s="252"/>
      <c r="X205" s="252"/>
      <c r="Y205" s="252"/>
      <c r="Z205" s="252"/>
      <c r="AA205" s="252"/>
    </row>
    <row r="206" spans="2:27" s="176" customFormat="1" ht="17.25" customHeight="1" x14ac:dyDescent="0.15">
      <c r="B206" s="1079">
        <f>IF($R$199="非該当",DATE(YEAR($I$27)-3,MONTH($I$27),DAY($I$27)),"")</f>
        <v>44652</v>
      </c>
      <c r="C206" s="1080"/>
      <c r="D206" s="1080"/>
      <c r="E206" s="1080"/>
      <c r="F206" s="1081"/>
      <c r="G206" s="631">
        <v>15.1</v>
      </c>
      <c r="H206" s="632"/>
      <c r="I206" s="632"/>
      <c r="J206" s="632"/>
      <c r="K206" s="633"/>
      <c r="L206" s="1153" t="str">
        <f>IF(B206="","～",P17&amp;"～"&amp;Q19)</f>
        <v>令和6～4年</v>
      </c>
      <c r="M206" s="1154"/>
      <c r="N206" s="1154"/>
      <c r="O206" s="1155"/>
      <c r="P206" s="1246">
        <f>IF(B206="","",ROUND(AVERAGE(G204,G205,G206),1))</f>
        <v>14.2</v>
      </c>
      <c r="Q206" s="1247"/>
      <c r="R206" s="1247"/>
      <c r="S206" s="1248"/>
      <c r="T206" s="252"/>
      <c r="V206" s="252"/>
      <c r="W206" s="252"/>
      <c r="X206" s="252"/>
      <c r="Y206" s="252"/>
      <c r="Z206" s="252"/>
      <c r="AA206" s="252"/>
    </row>
    <row r="207" spans="2:27" s="176" customFormat="1" ht="17.25" customHeight="1" x14ac:dyDescent="0.15">
      <c r="B207" s="1079">
        <f>IF($R$199="非該当",DATE(YEAR($I$27)-4,MONTH($I$27),DAY($I$27)),"")</f>
        <v>44287</v>
      </c>
      <c r="C207" s="1080"/>
      <c r="D207" s="1080"/>
      <c r="E207" s="1080"/>
      <c r="F207" s="1081"/>
      <c r="G207" s="631">
        <v>14.6</v>
      </c>
      <c r="H207" s="632"/>
      <c r="I207" s="632"/>
      <c r="J207" s="632"/>
      <c r="K207" s="633"/>
      <c r="L207" s="1153" t="str">
        <f>IF(B207="","～",P18&amp;"～"&amp;Q20)</f>
        <v>令和5～3年</v>
      </c>
      <c r="M207" s="1154"/>
      <c r="N207" s="1154"/>
      <c r="O207" s="1155"/>
      <c r="P207" s="1246">
        <f>IF(B207="","",ROUND(AVERAGE(G205,G206,G207),1))</f>
        <v>14.5</v>
      </c>
      <c r="Q207" s="1247"/>
      <c r="R207" s="1247"/>
      <c r="S207" s="1248"/>
      <c r="T207" s="252"/>
      <c r="V207" s="252"/>
      <c r="W207" s="252"/>
      <c r="X207" s="252"/>
      <c r="Y207" s="252"/>
      <c r="Z207" s="252"/>
      <c r="AA207" s="252"/>
    </row>
    <row r="208" spans="2:27" ht="17.25" customHeight="1" x14ac:dyDescent="0.15">
      <c r="L208" s="165"/>
    </row>
    <row r="209" spans="2:27" ht="30.75" customHeight="1" x14ac:dyDescent="0.15">
      <c r="B209" s="211" t="s">
        <v>158</v>
      </c>
      <c r="H209" s="211"/>
      <c r="AA209" s="212" t="str">
        <f>IF(G$23="","",G$23)</f>
        <v>秋田共同参画株式会社</v>
      </c>
    </row>
    <row r="210" spans="2:27" s="176" customFormat="1" ht="17.25" customHeight="1" x14ac:dyDescent="0.15">
      <c r="B210" s="1107" t="s">
        <v>149</v>
      </c>
      <c r="C210" s="1108"/>
      <c r="D210" s="1108"/>
      <c r="E210" s="1108"/>
      <c r="F210" s="1108"/>
      <c r="G210" s="1108"/>
      <c r="H210" s="1108"/>
      <c r="I210" s="1108"/>
      <c r="J210" s="1108"/>
      <c r="K210" s="1108"/>
      <c r="L210" s="1108"/>
      <c r="M210" s="1108"/>
      <c r="N210" s="1108"/>
      <c r="O210" s="1108"/>
      <c r="P210" s="1108"/>
      <c r="Q210" s="1108"/>
      <c r="R210" s="1108"/>
      <c r="S210" s="1108"/>
      <c r="T210" s="1108"/>
      <c r="U210" s="1108"/>
      <c r="V210" s="1108"/>
      <c r="W210" s="1108"/>
      <c r="X210" s="1108"/>
      <c r="Y210" s="1108"/>
      <c r="Z210" s="1108"/>
      <c r="AA210" s="1109"/>
    </row>
    <row r="211" spans="2:27" s="176" customFormat="1" ht="27" customHeight="1" x14ac:dyDescent="0.15">
      <c r="B211" s="1110" t="s">
        <v>16</v>
      </c>
      <c r="C211" s="1111"/>
      <c r="D211" s="1111"/>
      <c r="E211" s="1111"/>
      <c r="F211" s="1111"/>
      <c r="G211" s="1111"/>
      <c r="H211" s="1111"/>
      <c r="I211" s="1111"/>
      <c r="J211" s="1111"/>
      <c r="K211" s="1111"/>
      <c r="L211" s="1111"/>
      <c r="M211" s="1111"/>
      <c r="N211" s="1111"/>
      <c r="O211" s="1111"/>
      <c r="P211" s="1111"/>
      <c r="Q211" s="1111"/>
      <c r="R211" s="1111"/>
      <c r="S211" s="1111"/>
      <c r="T211" s="1111"/>
      <c r="U211" s="1111"/>
      <c r="V211" s="1111"/>
      <c r="W211" s="1111"/>
      <c r="X211" s="1111"/>
      <c r="Y211" s="1111"/>
      <c r="Z211" s="1111"/>
      <c r="AA211" s="1112"/>
    </row>
    <row r="212" spans="2:27" s="176" customFormat="1" ht="27" customHeight="1" x14ac:dyDescent="0.15">
      <c r="B212" s="1113" t="s">
        <v>17</v>
      </c>
      <c r="C212" s="1176"/>
      <c r="D212" s="1176"/>
      <c r="E212" s="1176"/>
      <c r="F212" s="1176"/>
      <c r="G212" s="1176"/>
      <c r="H212" s="1176"/>
      <c r="I212" s="1176"/>
      <c r="J212" s="1176"/>
      <c r="K212" s="1176"/>
      <c r="L212" s="1176"/>
      <c r="M212" s="1176"/>
      <c r="N212" s="1176"/>
      <c r="O212" s="1176"/>
      <c r="P212" s="1176"/>
      <c r="Q212" s="1176"/>
      <c r="R212" s="1176"/>
      <c r="S212" s="1176"/>
      <c r="T212" s="1176"/>
      <c r="U212" s="1176"/>
      <c r="V212" s="1176"/>
      <c r="W212" s="1176"/>
      <c r="X212" s="1176"/>
      <c r="Y212" s="1176"/>
      <c r="Z212" s="1176"/>
      <c r="AA212" s="1177"/>
    </row>
    <row r="213" spans="2:27" s="176" customFormat="1" ht="17.25" customHeight="1" x14ac:dyDescent="0.15">
      <c r="B213" s="1113" t="s">
        <v>18</v>
      </c>
      <c r="C213" s="1176"/>
      <c r="D213" s="1176"/>
      <c r="E213" s="1176"/>
      <c r="F213" s="1176"/>
      <c r="G213" s="1176"/>
      <c r="H213" s="1176"/>
      <c r="I213" s="1176"/>
      <c r="J213" s="1176"/>
      <c r="K213" s="1176"/>
      <c r="L213" s="1176"/>
      <c r="M213" s="1176"/>
      <c r="N213" s="1176"/>
      <c r="O213" s="1176"/>
      <c r="P213" s="1176"/>
      <c r="Q213" s="1176"/>
      <c r="R213" s="1176"/>
      <c r="S213" s="1176"/>
      <c r="T213" s="1176"/>
      <c r="U213" s="1176"/>
      <c r="V213" s="1176"/>
      <c r="W213" s="1176"/>
      <c r="X213" s="1176"/>
      <c r="Y213" s="1176"/>
      <c r="Z213" s="1176"/>
      <c r="AA213" s="1177"/>
    </row>
    <row r="214" spans="2:27" s="176" customFormat="1" ht="27" customHeight="1" x14ac:dyDescent="0.15">
      <c r="B214" s="1116" t="s">
        <v>90</v>
      </c>
      <c r="C214" s="1178"/>
      <c r="D214" s="1178"/>
      <c r="E214" s="1178"/>
      <c r="F214" s="1178"/>
      <c r="G214" s="1178"/>
      <c r="H214" s="1178"/>
      <c r="I214" s="1178"/>
      <c r="J214" s="1178"/>
      <c r="K214" s="1178"/>
      <c r="L214" s="1178"/>
      <c r="M214" s="1178"/>
      <c r="N214" s="1178"/>
      <c r="O214" s="1178"/>
      <c r="P214" s="1178"/>
      <c r="Q214" s="1178"/>
      <c r="R214" s="1178"/>
      <c r="S214" s="1178"/>
      <c r="T214" s="1178"/>
      <c r="U214" s="1178"/>
      <c r="V214" s="1178"/>
      <c r="W214" s="1178"/>
      <c r="X214" s="1178"/>
      <c r="Y214" s="1178"/>
      <c r="Z214" s="1178"/>
      <c r="AA214" s="1179"/>
    </row>
    <row r="215" spans="2:27" ht="17.25" customHeight="1" x14ac:dyDescent="0.15"/>
    <row r="216" spans="2:27" ht="17.25" customHeight="1" x14ac:dyDescent="0.15">
      <c r="B216" s="232" t="s">
        <v>22</v>
      </c>
    </row>
    <row r="217" spans="2:27" ht="16.5" customHeight="1" thickBot="1" x14ac:dyDescent="0.2">
      <c r="C217" s="218" t="s">
        <v>245</v>
      </c>
      <c r="D217" s="218"/>
      <c r="E217" s="218"/>
      <c r="F217" s="218"/>
      <c r="G217" s="218"/>
      <c r="H217" s="218"/>
      <c r="I217" s="218"/>
      <c r="J217" s="218"/>
      <c r="K217" s="218"/>
      <c r="L217" s="218"/>
      <c r="M217" s="218"/>
      <c r="N217" s="218"/>
      <c r="O217" s="218"/>
      <c r="P217" s="218"/>
      <c r="Q217" s="218"/>
      <c r="R217" s="218"/>
      <c r="S217" s="218"/>
      <c r="T217" s="218"/>
      <c r="U217" s="218"/>
      <c r="V217" s="218"/>
      <c r="W217" s="218"/>
      <c r="X217" s="218"/>
      <c r="Y217" s="218"/>
      <c r="Z217" s="218"/>
      <c r="AA217" s="218"/>
    </row>
    <row r="218" spans="2:27" s="172" customFormat="1" ht="54" customHeight="1" thickTop="1" thickBot="1" x14ac:dyDescent="0.2">
      <c r="B218" s="1088" t="s">
        <v>0</v>
      </c>
      <c r="C218" s="1089"/>
      <c r="D218" s="1090"/>
      <c r="E218" s="233"/>
      <c r="F218" s="1088" t="s">
        <v>19</v>
      </c>
      <c r="G218" s="1089"/>
      <c r="H218" s="1090"/>
      <c r="I218" s="1085" t="s">
        <v>215</v>
      </c>
      <c r="J218" s="1086"/>
      <c r="K218" s="1087"/>
      <c r="L218" s="1085" t="s">
        <v>216</v>
      </c>
      <c r="M218" s="1089"/>
      <c r="N218" s="1227" t="s">
        <v>217</v>
      </c>
      <c r="O218" s="1233"/>
      <c r="P218" s="1089" t="s">
        <v>19</v>
      </c>
      <c r="Q218" s="1089"/>
      <c r="R218" s="1090"/>
      <c r="S218" s="1085" t="s">
        <v>215</v>
      </c>
      <c r="T218" s="1086"/>
      <c r="U218" s="1087"/>
      <c r="V218" s="1085" t="s">
        <v>216</v>
      </c>
      <c r="W218" s="1089"/>
      <c r="X218" s="1227" t="s">
        <v>217</v>
      </c>
      <c r="Y218" s="1233"/>
      <c r="Z218" s="1238" t="s">
        <v>197</v>
      </c>
      <c r="AA218" s="1245"/>
    </row>
    <row r="219" spans="2:27" ht="17.25" customHeight="1" thickTop="1" thickBot="1" x14ac:dyDescent="0.2">
      <c r="B219" s="612" t="s">
        <v>265</v>
      </c>
      <c r="C219" s="613"/>
      <c r="D219" s="614"/>
      <c r="E219" s="179"/>
      <c r="F219" s="1211">
        <f>IF($B219="","　　年　月",DATE(YEAR($I$27),MONTH($I$27),DAY($I$27)))</f>
        <v>45748</v>
      </c>
      <c r="G219" s="1212"/>
      <c r="H219" s="1213"/>
      <c r="I219" s="607">
        <v>38</v>
      </c>
      <c r="J219" s="608"/>
      <c r="K219" s="609"/>
      <c r="L219" s="463">
        <v>3</v>
      </c>
      <c r="M219" s="593"/>
      <c r="N219" s="1236">
        <f>IF($B$219="","",I219/L219)</f>
        <v>12.666666666666666</v>
      </c>
      <c r="O219" s="1237"/>
      <c r="P219" s="1212">
        <f>IF($B219="","　　年　月",DATE(YEAR($I$27),MONTH($I$27)+6,DAY($I$27)))</f>
        <v>45931</v>
      </c>
      <c r="Q219" s="1212"/>
      <c r="R219" s="1213"/>
      <c r="S219" s="607">
        <v>18</v>
      </c>
      <c r="T219" s="608"/>
      <c r="U219" s="609"/>
      <c r="V219" s="463">
        <v>3</v>
      </c>
      <c r="W219" s="593"/>
      <c r="X219" s="1236">
        <f>IF($B$219="","",S219/V219)</f>
        <v>6</v>
      </c>
      <c r="Y219" s="1237"/>
      <c r="Z219" s="1238" t="str">
        <f>IF(B219="","",IF(COUNTIF(N219:O224,"&gt;=45")+COUNTIF(X219:Y224,"&gt;=45")&gt;0,"Ａ≧45　あり","全月　　Ａ＜45"))</f>
        <v>Ａ≧45　あり</v>
      </c>
      <c r="AA219" s="1239"/>
    </row>
    <row r="220" spans="2:27" ht="17.25" customHeight="1" thickTop="1" thickBot="1" x14ac:dyDescent="0.2">
      <c r="B220" s="615"/>
      <c r="C220" s="1240"/>
      <c r="D220" s="617"/>
      <c r="E220" s="179"/>
      <c r="F220" s="1211">
        <f>IF($B219="","　　年　月",DATE(YEAR($I$27),MONTH($I$27)+1,DAY($I$27)))</f>
        <v>45778</v>
      </c>
      <c r="G220" s="1212"/>
      <c r="H220" s="1213"/>
      <c r="I220" s="596">
        <v>39</v>
      </c>
      <c r="J220" s="597"/>
      <c r="K220" s="598"/>
      <c r="L220" s="463">
        <v>3</v>
      </c>
      <c r="M220" s="593"/>
      <c r="N220" s="1234">
        <f>IF($B$219="","",I220/L220)</f>
        <v>13</v>
      </c>
      <c r="O220" s="1235"/>
      <c r="P220" s="1212">
        <f>IF($B219="","　　年　月",DATE(YEAR($I$27),MONTH($I$27)+7,DAY($I$27)))</f>
        <v>45962</v>
      </c>
      <c r="Q220" s="1212"/>
      <c r="R220" s="1213"/>
      <c r="S220" s="596">
        <v>159</v>
      </c>
      <c r="T220" s="597"/>
      <c r="U220" s="598"/>
      <c r="V220" s="463">
        <v>3</v>
      </c>
      <c r="W220" s="593"/>
      <c r="X220" s="1234">
        <f t="shared" ref="X220:X223" si="11">IF($B$219="","",S220/V220)</f>
        <v>53</v>
      </c>
      <c r="Y220" s="1235"/>
      <c r="Z220" s="1238"/>
      <c r="AA220" s="1239"/>
    </row>
    <row r="221" spans="2:27" ht="17.25" customHeight="1" thickTop="1" thickBot="1" x14ac:dyDescent="0.2">
      <c r="B221" s="615"/>
      <c r="C221" s="1240"/>
      <c r="D221" s="617"/>
      <c r="E221" s="179"/>
      <c r="F221" s="1211">
        <f>IF($B219="","　　年　月",DATE(YEAR($I$27),MONTH($I$27)+2,DAY($I$27)))</f>
        <v>45809</v>
      </c>
      <c r="G221" s="1212"/>
      <c r="H221" s="1213"/>
      <c r="I221" s="596">
        <v>22</v>
      </c>
      <c r="J221" s="597"/>
      <c r="K221" s="598"/>
      <c r="L221" s="463">
        <v>2</v>
      </c>
      <c r="M221" s="593"/>
      <c r="N221" s="1234">
        <f t="shared" ref="N221:N223" si="12">IF($B$219="","",I221/L221)</f>
        <v>11</v>
      </c>
      <c r="O221" s="1235"/>
      <c r="P221" s="1212">
        <f>IF($B219="","　　年　月",DATE(YEAR($I$27),MONTH($I$27)+8,DAY($I$27)))</f>
        <v>45992</v>
      </c>
      <c r="Q221" s="1212"/>
      <c r="R221" s="1213"/>
      <c r="S221" s="596">
        <v>35</v>
      </c>
      <c r="T221" s="597"/>
      <c r="U221" s="598"/>
      <c r="V221" s="463">
        <v>2</v>
      </c>
      <c r="W221" s="593"/>
      <c r="X221" s="1234">
        <f t="shared" si="11"/>
        <v>17.5</v>
      </c>
      <c r="Y221" s="1235"/>
      <c r="Z221" s="1238"/>
      <c r="AA221" s="1239"/>
    </row>
    <row r="222" spans="2:27" ht="17.25" customHeight="1" thickTop="1" thickBot="1" x14ac:dyDescent="0.2">
      <c r="B222" s="615"/>
      <c r="C222" s="1240"/>
      <c r="D222" s="617"/>
      <c r="E222" s="179"/>
      <c r="F222" s="1211">
        <f>IF($B219="","　　年　月",DATE(YEAR($I$27),MONTH($I$27)+3,DAY($I$27)))</f>
        <v>45839</v>
      </c>
      <c r="G222" s="1212"/>
      <c r="H222" s="1213"/>
      <c r="I222" s="596">
        <v>15</v>
      </c>
      <c r="J222" s="597"/>
      <c r="K222" s="598"/>
      <c r="L222" s="463">
        <v>2</v>
      </c>
      <c r="M222" s="593"/>
      <c r="N222" s="1234">
        <f t="shared" si="12"/>
        <v>7.5</v>
      </c>
      <c r="O222" s="1235"/>
      <c r="P222" s="1212">
        <f>IF($B219="","　　年　月",DATE(YEAR($I$27),MONTH($I$27)+9,DAY($I$27)))</f>
        <v>46023</v>
      </c>
      <c r="Q222" s="1212"/>
      <c r="R222" s="1213"/>
      <c r="S222" s="596">
        <v>31</v>
      </c>
      <c r="T222" s="597"/>
      <c r="U222" s="598"/>
      <c r="V222" s="463">
        <v>3</v>
      </c>
      <c r="W222" s="593"/>
      <c r="X222" s="1234">
        <f t="shared" si="11"/>
        <v>10.333333333333334</v>
      </c>
      <c r="Y222" s="1235"/>
      <c r="Z222" s="1238"/>
      <c r="AA222" s="1239"/>
    </row>
    <row r="223" spans="2:27" ht="17.25" customHeight="1" thickTop="1" thickBot="1" x14ac:dyDescent="0.2">
      <c r="B223" s="615"/>
      <c r="C223" s="1240"/>
      <c r="D223" s="617"/>
      <c r="E223" s="179"/>
      <c r="F223" s="1211">
        <f>IF($B219="","　　年　月",DATE(YEAR($I$27),MONTH($I$27)+4,DAY($I$27)))</f>
        <v>45870</v>
      </c>
      <c r="G223" s="1212"/>
      <c r="H223" s="1213"/>
      <c r="I223" s="596">
        <v>142</v>
      </c>
      <c r="J223" s="597"/>
      <c r="K223" s="598"/>
      <c r="L223" s="463">
        <v>3</v>
      </c>
      <c r="M223" s="593"/>
      <c r="N223" s="1234">
        <f t="shared" si="12"/>
        <v>47.333333333333336</v>
      </c>
      <c r="O223" s="1235"/>
      <c r="P223" s="1212">
        <f>IF($B219="","　　年　月",DATE(YEAR($I$27),MONTH($I$27)+10,DAY($I$27)))</f>
        <v>46054</v>
      </c>
      <c r="Q223" s="1212"/>
      <c r="R223" s="1213"/>
      <c r="S223" s="596">
        <v>12</v>
      </c>
      <c r="T223" s="597"/>
      <c r="U223" s="598"/>
      <c r="V223" s="463">
        <v>3</v>
      </c>
      <c r="W223" s="593"/>
      <c r="X223" s="1234">
        <f t="shared" si="11"/>
        <v>4</v>
      </c>
      <c r="Y223" s="1235"/>
      <c r="Z223" s="1238"/>
      <c r="AA223" s="1239"/>
    </row>
    <row r="224" spans="2:27" ht="17.25" customHeight="1" thickTop="1" thickBot="1" x14ac:dyDescent="0.2">
      <c r="B224" s="618"/>
      <c r="C224" s="619"/>
      <c r="D224" s="620"/>
      <c r="E224" s="179"/>
      <c r="F224" s="1211">
        <f>IF($B219="","　　年　月",DATE(YEAR($I$27),MONTH($I$27)+5,DAY($I$27)))</f>
        <v>45901</v>
      </c>
      <c r="G224" s="1212"/>
      <c r="H224" s="1213"/>
      <c r="I224" s="596">
        <v>31</v>
      </c>
      <c r="J224" s="597"/>
      <c r="K224" s="598"/>
      <c r="L224" s="463">
        <v>3</v>
      </c>
      <c r="M224" s="593"/>
      <c r="N224" s="1243">
        <f>IF($B$219="","",I224/L224)</f>
        <v>10.333333333333334</v>
      </c>
      <c r="O224" s="1244"/>
      <c r="P224" s="1212">
        <f>IF($B219="","　　年　月",DATE(YEAR($I$27),MONTH($I$27)+11,DAY($I$27)))</f>
        <v>46082</v>
      </c>
      <c r="Q224" s="1212"/>
      <c r="R224" s="1213"/>
      <c r="S224" s="596">
        <v>8</v>
      </c>
      <c r="T224" s="597"/>
      <c r="U224" s="598"/>
      <c r="V224" s="463">
        <v>3</v>
      </c>
      <c r="W224" s="593"/>
      <c r="X224" s="1243">
        <f>IF($B$219="","",S224/V224)</f>
        <v>2.6666666666666665</v>
      </c>
      <c r="Y224" s="1244"/>
      <c r="Z224" s="1238"/>
      <c r="AA224" s="1239"/>
    </row>
    <row r="225" spans="2:27" ht="17.25" customHeight="1" thickTop="1" thickBot="1" x14ac:dyDescent="0.2">
      <c r="B225" s="612" t="s">
        <v>257</v>
      </c>
      <c r="C225" s="613"/>
      <c r="D225" s="614"/>
      <c r="E225" s="179"/>
      <c r="F225" s="1211">
        <f>IF($B225="","　　年　月",DATE(YEAR($I$27),MONTH($I$27),DAY($I$27)))</f>
        <v>45748</v>
      </c>
      <c r="G225" s="1212"/>
      <c r="H225" s="1213"/>
      <c r="I225" s="596">
        <v>1234</v>
      </c>
      <c r="J225" s="597"/>
      <c r="K225" s="598"/>
      <c r="L225" s="463">
        <v>56</v>
      </c>
      <c r="M225" s="593"/>
      <c r="N225" s="1241">
        <f>IF($B$225="","",I225/L225)</f>
        <v>22.035714285714285</v>
      </c>
      <c r="O225" s="1242"/>
      <c r="P225" s="1212">
        <f>IF($B225="","　　年　月",DATE(YEAR($I$27),MONTH($I$27)+6,DAY($I$27)))</f>
        <v>45931</v>
      </c>
      <c r="Q225" s="1212"/>
      <c r="R225" s="1213"/>
      <c r="S225" s="596">
        <v>543</v>
      </c>
      <c r="T225" s="597"/>
      <c r="U225" s="598"/>
      <c r="V225" s="463">
        <v>56</v>
      </c>
      <c r="W225" s="593"/>
      <c r="X225" s="1241">
        <f>IF($B$225="","",S225/V225)</f>
        <v>9.6964285714285712</v>
      </c>
      <c r="Y225" s="1242"/>
      <c r="Z225" s="1238" t="str">
        <f>IF(B225="","",IF(COUNTIF(N225:O230,"&gt;=45")+COUNTIF(X225:Y230,"&gt;=45")&gt;0,"Ａ≧45　あり","全月　　Ａ＜45"))</f>
        <v>Ａ≧45　あり</v>
      </c>
      <c r="AA225" s="1239"/>
    </row>
    <row r="226" spans="2:27" ht="17.25" customHeight="1" thickTop="1" thickBot="1" x14ac:dyDescent="0.2">
      <c r="B226" s="615"/>
      <c r="C226" s="1240"/>
      <c r="D226" s="617"/>
      <c r="E226" s="179"/>
      <c r="F226" s="1211">
        <f>IF($B225="","　　年　月",DATE(YEAR($I$27),MONTH($I$27)+1,DAY($I$27)))</f>
        <v>45778</v>
      </c>
      <c r="G226" s="1212"/>
      <c r="H226" s="1213"/>
      <c r="I226" s="596">
        <v>345</v>
      </c>
      <c r="J226" s="597"/>
      <c r="K226" s="598"/>
      <c r="L226" s="463">
        <v>56</v>
      </c>
      <c r="M226" s="593"/>
      <c r="N226" s="1234">
        <f t="shared" ref="N226:N229" si="13">IF($B$225="","",I226/L226)</f>
        <v>6.1607142857142856</v>
      </c>
      <c r="O226" s="1235"/>
      <c r="P226" s="1212">
        <f>IF($B225="","　　年　月",DATE(YEAR($I$27),MONTH($I$27)+7,DAY($I$27)))</f>
        <v>45962</v>
      </c>
      <c r="Q226" s="1212"/>
      <c r="R226" s="1213"/>
      <c r="S226" s="596">
        <v>489</v>
      </c>
      <c r="T226" s="597"/>
      <c r="U226" s="598"/>
      <c r="V226" s="463">
        <v>55</v>
      </c>
      <c r="W226" s="593"/>
      <c r="X226" s="1234">
        <f t="shared" ref="X226:X230" si="14">IF($B$225="","",S226/V226)</f>
        <v>8.8909090909090907</v>
      </c>
      <c r="Y226" s="1235"/>
      <c r="Z226" s="1238"/>
      <c r="AA226" s="1239"/>
    </row>
    <row r="227" spans="2:27" ht="17.25" customHeight="1" thickTop="1" thickBot="1" x14ac:dyDescent="0.2">
      <c r="B227" s="615"/>
      <c r="C227" s="1240"/>
      <c r="D227" s="617"/>
      <c r="E227" s="179"/>
      <c r="F227" s="1211">
        <f>IF($B225="","　　年　月",DATE(YEAR($I$27),MONTH($I$27)+2,DAY($I$27)))</f>
        <v>45809</v>
      </c>
      <c r="G227" s="1212"/>
      <c r="H227" s="1213"/>
      <c r="I227" s="596">
        <v>402</v>
      </c>
      <c r="J227" s="597"/>
      <c r="K227" s="598"/>
      <c r="L227" s="463">
        <v>56</v>
      </c>
      <c r="M227" s="593"/>
      <c r="N227" s="1234">
        <f t="shared" si="13"/>
        <v>7.1785714285714288</v>
      </c>
      <c r="O227" s="1235"/>
      <c r="P227" s="1212">
        <f>IF($B225="","　　年　月",DATE(YEAR($I$27),MONTH($I$27)+8,DAY($I$27)))</f>
        <v>45992</v>
      </c>
      <c r="Q227" s="1212"/>
      <c r="R227" s="1213"/>
      <c r="S227" s="596">
        <v>2765</v>
      </c>
      <c r="T227" s="597"/>
      <c r="U227" s="598"/>
      <c r="V227" s="463">
        <v>55</v>
      </c>
      <c r="W227" s="593"/>
      <c r="X227" s="1234">
        <f t="shared" si="14"/>
        <v>50.272727272727273</v>
      </c>
      <c r="Y227" s="1235"/>
      <c r="Z227" s="1238"/>
      <c r="AA227" s="1239"/>
    </row>
    <row r="228" spans="2:27" ht="17.25" customHeight="1" thickTop="1" thickBot="1" x14ac:dyDescent="0.2">
      <c r="B228" s="615"/>
      <c r="C228" s="1240"/>
      <c r="D228" s="617"/>
      <c r="E228" s="179"/>
      <c r="F228" s="1211">
        <f>IF($B225="","　　年　月",DATE(YEAR($I$27),MONTH($I$27)+3,DAY($I$27)))</f>
        <v>45839</v>
      </c>
      <c r="G228" s="1212"/>
      <c r="H228" s="1213"/>
      <c r="I228" s="596">
        <v>401</v>
      </c>
      <c r="J228" s="597"/>
      <c r="K228" s="598"/>
      <c r="L228" s="463">
        <v>56</v>
      </c>
      <c r="M228" s="593"/>
      <c r="N228" s="1234">
        <f t="shared" si="13"/>
        <v>7.1607142857142856</v>
      </c>
      <c r="O228" s="1235"/>
      <c r="P228" s="1212">
        <f>IF($B225="","　　年　月",DATE(YEAR($I$27),MONTH($I$27)+9,DAY($I$27)))</f>
        <v>46023</v>
      </c>
      <c r="Q228" s="1212"/>
      <c r="R228" s="1213"/>
      <c r="S228" s="596">
        <v>439</v>
      </c>
      <c r="T228" s="597"/>
      <c r="U228" s="598"/>
      <c r="V228" s="463">
        <v>55</v>
      </c>
      <c r="W228" s="593"/>
      <c r="X228" s="1234">
        <f t="shared" si="14"/>
        <v>7.9818181818181815</v>
      </c>
      <c r="Y228" s="1235"/>
      <c r="Z228" s="1238"/>
      <c r="AA228" s="1239"/>
    </row>
    <row r="229" spans="2:27" ht="17.25" customHeight="1" thickTop="1" thickBot="1" x14ac:dyDescent="0.2">
      <c r="B229" s="615"/>
      <c r="C229" s="1240"/>
      <c r="D229" s="617"/>
      <c r="E229" s="179"/>
      <c r="F229" s="1211">
        <f>IF($B225="","　　年　月",DATE(YEAR($I$27),MONTH($I$27)+4,DAY($I$27)))</f>
        <v>45870</v>
      </c>
      <c r="G229" s="1212"/>
      <c r="H229" s="1213"/>
      <c r="I229" s="596">
        <v>267</v>
      </c>
      <c r="J229" s="597"/>
      <c r="K229" s="598"/>
      <c r="L229" s="463">
        <v>56</v>
      </c>
      <c r="M229" s="593"/>
      <c r="N229" s="1234">
        <f t="shared" si="13"/>
        <v>4.7678571428571432</v>
      </c>
      <c r="O229" s="1235"/>
      <c r="P229" s="1212">
        <f>IF($B225="","　　年　月",DATE(YEAR($I$27),MONTH($I$27)+10,DAY($I$27)))</f>
        <v>46054</v>
      </c>
      <c r="Q229" s="1212"/>
      <c r="R229" s="1213"/>
      <c r="S229" s="596">
        <v>356</v>
      </c>
      <c r="T229" s="597"/>
      <c r="U229" s="598"/>
      <c r="V229" s="463">
        <v>55</v>
      </c>
      <c r="W229" s="593"/>
      <c r="X229" s="1234">
        <f t="shared" si="14"/>
        <v>6.4727272727272727</v>
      </c>
      <c r="Y229" s="1235"/>
      <c r="Z229" s="1238"/>
      <c r="AA229" s="1239"/>
    </row>
    <row r="230" spans="2:27" ht="17.25" customHeight="1" thickTop="1" thickBot="1" x14ac:dyDescent="0.2">
      <c r="B230" s="618"/>
      <c r="C230" s="619"/>
      <c r="D230" s="620"/>
      <c r="E230" s="179"/>
      <c r="F230" s="1211">
        <f>IF($B225="","　　年　月",DATE(YEAR($I$27),MONTH($I$27)+5,DAY($I$27)))</f>
        <v>45901</v>
      </c>
      <c r="G230" s="1212"/>
      <c r="H230" s="1213"/>
      <c r="I230" s="596">
        <v>876</v>
      </c>
      <c r="J230" s="597"/>
      <c r="K230" s="598"/>
      <c r="L230" s="463">
        <v>56</v>
      </c>
      <c r="M230" s="593"/>
      <c r="N230" s="1216">
        <f>IF($B$225="","",I230/L230)</f>
        <v>15.642857142857142</v>
      </c>
      <c r="O230" s="1217"/>
      <c r="P230" s="1212">
        <f>IF($B225="","　　年　月",DATE(YEAR($I$27),MONTH($I$27)+11,DAY($I$27)))</f>
        <v>46082</v>
      </c>
      <c r="Q230" s="1212"/>
      <c r="R230" s="1213"/>
      <c r="S230" s="596">
        <v>654</v>
      </c>
      <c r="T230" s="597"/>
      <c r="U230" s="598"/>
      <c r="V230" s="463">
        <v>56</v>
      </c>
      <c r="W230" s="593"/>
      <c r="X230" s="1216">
        <f t="shared" si="14"/>
        <v>11.678571428571429</v>
      </c>
      <c r="Y230" s="1217"/>
      <c r="Z230" s="1238"/>
      <c r="AA230" s="1239"/>
    </row>
    <row r="231" spans="2:27" ht="17.25" customHeight="1" thickTop="1" thickBot="1" x14ac:dyDescent="0.2">
      <c r="B231" s="612" t="s">
        <v>266</v>
      </c>
      <c r="C231" s="613"/>
      <c r="D231" s="614"/>
      <c r="E231" s="179"/>
      <c r="F231" s="1211">
        <f>IF($B231="","　　年　月",DATE(YEAR($I$27),MONTH($I$27),DAY($I$27)))</f>
        <v>45748</v>
      </c>
      <c r="G231" s="1212"/>
      <c r="H231" s="1213"/>
      <c r="I231" s="596">
        <v>10</v>
      </c>
      <c r="J231" s="597"/>
      <c r="K231" s="598"/>
      <c r="L231" s="463">
        <v>3</v>
      </c>
      <c r="M231" s="593"/>
      <c r="N231" s="1236">
        <f>IF($B$231="","",I231/L231)</f>
        <v>3.3333333333333335</v>
      </c>
      <c r="O231" s="1237"/>
      <c r="P231" s="1212">
        <f>IF($B231="","　　年　月",DATE(YEAR($I$27),MONTH($I$27)+6,DAY($I$27)))</f>
        <v>45931</v>
      </c>
      <c r="Q231" s="1212"/>
      <c r="R231" s="1213"/>
      <c r="S231" s="596">
        <v>43</v>
      </c>
      <c r="T231" s="597"/>
      <c r="U231" s="598"/>
      <c r="V231" s="463">
        <v>3</v>
      </c>
      <c r="W231" s="593"/>
      <c r="X231" s="1236">
        <f>IF($B$231="","",S231/V231)</f>
        <v>14.333333333333334</v>
      </c>
      <c r="Y231" s="1237"/>
      <c r="Z231" s="1238" t="str">
        <f>IF(B231="","",IF(COUNTIF(N231:O236,"&gt;=45")+COUNTIF(X231:Y236,"&gt;=45")&gt;0,"Ａ≧45　あり","全月　　Ａ＜45"))</f>
        <v>全月　　Ａ＜45</v>
      </c>
      <c r="AA231" s="1239"/>
    </row>
    <row r="232" spans="2:27" ht="17.25" customHeight="1" thickTop="1" thickBot="1" x14ac:dyDescent="0.2">
      <c r="B232" s="615"/>
      <c r="C232" s="1240"/>
      <c r="D232" s="617"/>
      <c r="E232" s="179"/>
      <c r="F232" s="1211">
        <f>IF($B231="","　　年　月",DATE(YEAR($I$27),MONTH($I$27)+1,DAY($I$27)))</f>
        <v>45778</v>
      </c>
      <c r="G232" s="1212"/>
      <c r="H232" s="1213"/>
      <c r="I232" s="596">
        <v>8</v>
      </c>
      <c r="J232" s="597"/>
      <c r="K232" s="598"/>
      <c r="L232" s="463">
        <v>3</v>
      </c>
      <c r="M232" s="593"/>
      <c r="N232" s="1234">
        <f t="shared" ref="N232:N235" si="15">IF($B$231="","",I232/L232)</f>
        <v>2.6666666666666665</v>
      </c>
      <c r="O232" s="1235"/>
      <c r="P232" s="1212">
        <f>IF($B231="","　　年　月",DATE(YEAR($I$27),MONTH($I$27)+7,DAY($I$27)))</f>
        <v>45962</v>
      </c>
      <c r="Q232" s="1212"/>
      <c r="R232" s="1213"/>
      <c r="S232" s="596">
        <v>0</v>
      </c>
      <c r="T232" s="597"/>
      <c r="U232" s="598"/>
      <c r="V232" s="463">
        <v>2</v>
      </c>
      <c r="W232" s="593"/>
      <c r="X232" s="1234">
        <f t="shared" ref="X232:X235" si="16">IF($B$231="","",S232/V232)</f>
        <v>0</v>
      </c>
      <c r="Y232" s="1235"/>
      <c r="Z232" s="1238"/>
      <c r="AA232" s="1239"/>
    </row>
    <row r="233" spans="2:27" ht="17.25" customHeight="1" thickTop="1" thickBot="1" x14ac:dyDescent="0.2">
      <c r="B233" s="615"/>
      <c r="C233" s="1240"/>
      <c r="D233" s="617"/>
      <c r="E233" s="179"/>
      <c r="F233" s="1211">
        <f>IF($B231="","　　年　月",DATE(YEAR($I$27),MONTH($I$27)+2,DAY($I$27)))</f>
        <v>45809</v>
      </c>
      <c r="G233" s="1212"/>
      <c r="H233" s="1213"/>
      <c r="I233" s="596">
        <v>9</v>
      </c>
      <c r="J233" s="597"/>
      <c r="K233" s="598"/>
      <c r="L233" s="463">
        <v>2</v>
      </c>
      <c r="M233" s="593"/>
      <c r="N233" s="1234">
        <f t="shared" si="15"/>
        <v>4.5</v>
      </c>
      <c r="O233" s="1235"/>
      <c r="P233" s="1212">
        <f>IF($B231="","　　年　月",DATE(YEAR($I$27),MONTH($I$27)+8,DAY($I$27)))</f>
        <v>45992</v>
      </c>
      <c r="Q233" s="1212"/>
      <c r="R233" s="1213"/>
      <c r="S233" s="596">
        <v>2</v>
      </c>
      <c r="T233" s="597"/>
      <c r="U233" s="598"/>
      <c r="V233" s="463">
        <v>2</v>
      </c>
      <c r="W233" s="593"/>
      <c r="X233" s="1234">
        <f t="shared" si="16"/>
        <v>1</v>
      </c>
      <c r="Y233" s="1235"/>
      <c r="Z233" s="1238"/>
      <c r="AA233" s="1239"/>
    </row>
    <row r="234" spans="2:27" ht="17.25" customHeight="1" thickTop="1" thickBot="1" x14ac:dyDescent="0.2">
      <c r="B234" s="615"/>
      <c r="C234" s="1240"/>
      <c r="D234" s="617"/>
      <c r="E234" s="179"/>
      <c r="F234" s="1211">
        <f>IF($B231="","　　年　月",DATE(YEAR($I$27),MONTH($I$27)+3,DAY($I$27)))</f>
        <v>45839</v>
      </c>
      <c r="G234" s="1212"/>
      <c r="H234" s="1213"/>
      <c r="I234" s="596">
        <v>4</v>
      </c>
      <c r="J234" s="597"/>
      <c r="K234" s="598"/>
      <c r="L234" s="463">
        <v>2</v>
      </c>
      <c r="M234" s="593"/>
      <c r="N234" s="1234">
        <f t="shared" si="15"/>
        <v>2</v>
      </c>
      <c r="O234" s="1235"/>
      <c r="P234" s="1212">
        <f>IF($B231="","　　年　月",DATE(YEAR($I$27),MONTH($I$27)+9,DAY($I$27)))</f>
        <v>46023</v>
      </c>
      <c r="Q234" s="1212"/>
      <c r="R234" s="1213"/>
      <c r="S234" s="596">
        <v>6</v>
      </c>
      <c r="T234" s="597"/>
      <c r="U234" s="598"/>
      <c r="V234" s="463">
        <v>3</v>
      </c>
      <c r="W234" s="593"/>
      <c r="X234" s="1234">
        <f t="shared" si="16"/>
        <v>2</v>
      </c>
      <c r="Y234" s="1235"/>
      <c r="Z234" s="1238"/>
      <c r="AA234" s="1239"/>
    </row>
    <row r="235" spans="2:27" ht="17.25" customHeight="1" thickTop="1" thickBot="1" x14ac:dyDescent="0.2">
      <c r="B235" s="615"/>
      <c r="C235" s="1240"/>
      <c r="D235" s="617"/>
      <c r="E235" s="179"/>
      <c r="F235" s="1211">
        <f>IF($B231="","　　年　月",DATE(YEAR($I$27),MONTH($I$27)+4,DAY($I$27)))</f>
        <v>45870</v>
      </c>
      <c r="G235" s="1212"/>
      <c r="H235" s="1213"/>
      <c r="I235" s="596">
        <v>6</v>
      </c>
      <c r="J235" s="597"/>
      <c r="K235" s="598"/>
      <c r="L235" s="463">
        <v>3</v>
      </c>
      <c r="M235" s="593"/>
      <c r="N235" s="1234">
        <f t="shared" si="15"/>
        <v>2</v>
      </c>
      <c r="O235" s="1235"/>
      <c r="P235" s="1212">
        <f>IF($B231="","　　年　月",DATE(YEAR($I$27),MONTH($I$27)+10,DAY($I$27)))</f>
        <v>46054</v>
      </c>
      <c r="Q235" s="1212"/>
      <c r="R235" s="1213"/>
      <c r="S235" s="596">
        <v>4</v>
      </c>
      <c r="T235" s="597"/>
      <c r="U235" s="598"/>
      <c r="V235" s="463">
        <v>3</v>
      </c>
      <c r="W235" s="593"/>
      <c r="X235" s="1234">
        <f t="shared" si="16"/>
        <v>1.3333333333333333</v>
      </c>
      <c r="Y235" s="1235"/>
      <c r="Z235" s="1238"/>
      <c r="AA235" s="1239"/>
    </row>
    <row r="236" spans="2:27" ht="17.25" customHeight="1" thickTop="1" thickBot="1" x14ac:dyDescent="0.2">
      <c r="B236" s="618"/>
      <c r="C236" s="619"/>
      <c r="D236" s="620"/>
      <c r="E236" s="179"/>
      <c r="F236" s="1211">
        <f>IF($B231="","　　年　月",DATE(YEAR($I$27),MONTH($I$27)+5,DAY($I$27)))</f>
        <v>45901</v>
      </c>
      <c r="G236" s="1212"/>
      <c r="H236" s="1213"/>
      <c r="I236" s="607">
        <v>3</v>
      </c>
      <c r="J236" s="608"/>
      <c r="K236" s="609"/>
      <c r="L236" s="610">
        <v>3</v>
      </c>
      <c r="M236" s="611"/>
      <c r="N236" s="1216">
        <f>IF($B$231="","",I236/L236)</f>
        <v>1</v>
      </c>
      <c r="O236" s="1217"/>
      <c r="P236" s="1212">
        <f>IF($B231="","　　年　月",DATE(YEAR($I$27),MONTH($I$27)+11,DAY($I$27)))</f>
        <v>46082</v>
      </c>
      <c r="Q236" s="1212"/>
      <c r="R236" s="1213"/>
      <c r="S236" s="607">
        <v>11</v>
      </c>
      <c r="T236" s="608"/>
      <c r="U236" s="609"/>
      <c r="V236" s="610">
        <v>2</v>
      </c>
      <c r="W236" s="611"/>
      <c r="X236" s="1216">
        <f>IF($B$231="","",S236/V236)</f>
        <v>5.5</v>
      </c>
      <c r="Y236" s="1217"/>
      <c r="Z236" s="1227"/>
      <c r="AA236" s="1228"/>
    </row>
    <row r="237" spans="2:27" ht="27.75" customHeight="1" thickTop="1" thickBot="1" x14ac:dyDescent="0.2">
      <c r="F237" s="1204" t="s">
        <v>188</v>
      </c>
      <c r="G237" s="1205"/>
      <c r="H237" s="1205"/>
      <c r="I237" s="1205"/>
      <c r="J237" s="1205"/>
      <c r="K237" s="1205"/>
      <c r="L237" s="1205"/>
      <c r="M237" s="1205"/>
      <c r="N237" s="1205"/>
      <c r="O237" s="1205"/>
      <c r="P237" s="1205"/>
      <c r="Q237" s="1205"/>
      <c r="R237" s="1205"/>
      <c r="S237" s="1205"/>
      <c r="T237" s="1205"/>
      <c r="U237" s="1205"/>
      <c r="V237" s="1205"/>
      <c r="W237" s="1206"/>
      <c r="X237" s="603" t="s">
        <v>267</v>
      </c>
      <c r="Y237" s="604"/>
      <c r="Z237" s="604"/>
      <c r="AA237" s="605"/>
    </row>
    <row r="238" spans="2:27" ht="17.25" customHeight="1" thickTop="1" x14ac:dyDescent="0.15">
      <c r="AA238" s="165" t="str">
        <f>IF(G23="","",IF(X237="","リストから選択↑　",""))</f>
        <v/>
      </c>
    </row>
    <row r="239" spans="2:27" ht="16.5" customHeight="1" x14ac:dyDescent="0.15">
      <c r="B239" s="1078" t="s">
        <v>67</v>
      </c>
      <c r="C239" s="1078"/>
      <c r="D239" s="1078"/>
      <c r="E239" s="1078"/>
      <c r="F239" s="1078"/>
      <c r="G239" s="1078"/>
      <c r="H239" s="1078"/>
      <c r="I239" s="1078"/>
      <c r="J239" s="1078"/>
      <c r="K239" s="1078"/>
      <c r="L239" s="1078"/>
      <c r="M239" s="1078"/>
      <c r="N239" s="1078"/>
      <c r="O239" s="1078"/>
      <c r="P239" s="1078"/>
      <c r="Q239" s="1078"/>
      <c r="R239" s="1078"/>
      <c r="S239" s="1078"/>
      <c r="T239" s="1078"/>
      <c r="U239" s="1078"/>
      <c r="V239" s="1078"/>
      <c r="W239" s="1078"/>
      <c r="X239" s="1078"/>
      <c r="Y239" s="1078"/>
      <c r="Z239" s="1078"/>
      <c r="AA239" s="1078"/>
    </row>
    <row r="240" spans="2:27" ht="17.25" customHeight="1" x14ac:dyDescent="0.15"/>
    <row r="241" spans="2:27" ht="17.25" customHeight="1" x14ac:dyDescent="0.15">
      <c r="B241" s="171" t="s">
        <v>159</v>
      </c>
      <c r="AA241" s="212" t="str">
        <f>IF(G$23="","",G$23)</f>
        <v>秋田共同参画株式会社</v>
      </c>
    </row>
    <row r="242" spans="2:27" ht="17.25" customHeight="1" x14ac:dyDescent="0.15"/>
    <row r="243" spans="2:27" ht="17.25" customHeight="1" x14ac:dyDescent="0.15">
      <c r="B243" s="253" t="s">
        <v>23</v>
      </c>
      <c r="Q243" s="233"/>
    </row>
    <row r="244" spans="2:27" ht="17.25" customHeight="1" thickBot="1" x14ac:dyDescent="0.2">
      <c r="C244" s="172" t="s">
        <v>72</v>
      </c>
    </row>
    <row r="245" spans="2:27" s="172" customFormat="1" ht="54" customHeight="1" thickTop="1" thickBot="1" x14ac:dyDescent="0.2">
      <c r="B245" s="1088" t="s">
        <v>0</v>
      </c>
      <c r="C245" s="1089"/>
      <c r="D245" s="1090"/>
      <c r="E245" s="233"/>
      <c r="F245" s="1088" t="s">
        <v>19</v>
      </c>
      <c r="G245" s="1089"/>
      <c r="H245" s="1090"/>
      <c r="I245" s="1086" t="s">
        <v>21</v>
      </c>
      <c r="J245" s="1086"/>
      <c r="K245" s="1087"/>
      <c r="L245" s="1085" t="s">
        <v>20</v>
      </c>
      <c r="M245" s="1089"/>
      <c r="N245" s="1227" t="s">
        <v>45</v>
      </c>
      <c r="O245" s="1233"/>
      <c r="P245" s="1089" t="s">
        <v>19</v>
      </c>
      <c r="Q245" s="1089"/>
      <c r="R245" s="1090"/>
      <c r="S245" s="1086" t="s">
        <v>21</v>
      </c>
      <c r="T245" s="1086"/>
      <c r="U245" s="1087"/>
      <c r="V245" s="1085" t="s">
        <v>20</v>
      </c>
      <c r="W245" s="1089"/>
      <c r="X245" s="1227" t="s">
        <v>45</v>
      </c>
      <c r="Y245" s="1233"/>
      <c r="Z245" s="1105" t="s">
        <v>198</v>
      </c>
      <c r="AA245" s="1106"/>
    </row>
    <row r="246" spans="2:27" ht="17.25" customHeight="1" thickTop="1" x14ac:dyDescent="0.15">
      <c r="B246" s="553"/>
      <c r="C246" s="554"/>
      <c r="D246" s="555"/>
      <c r="E246" s="237"/>
      <c r="F246" s="1211" t="str">
        <f>IF($B246="","　　年　月",DATE(YEAR($I$27),MONTH($I$27),DAY($I$27)))</f>
        <v>　　年　月</v>
      </c>
      <c r="G246" s="1212"/>
      <c r="H246" s="1213"/>
      <c r="I246" s="577"/>
      <c r="J246" s="577"/>
      <c r="K246" s="578"/>
      <c r="L246" s="318"/>
      <c r="M246" s="550"/>
      <c r="N246" s="1225" t="str">
        <f t="shared" ref="N246:N251" si="17">IF($B$246="","",(I246-40*DAY(EOMONTH(DATE(YEAR($X$27),MONTH($X$27),DAY($X$27)),0))/7*L246)/L246)</f>
        <v/>
      </c>
      <c r="O246" s="1226"/>
      <c r="P246" s="1212" t="str">
        <f>IF($B246="","　　年　月",DATE(YEAR($I$27),MONTH($I$27)+6,DAY($I$27)))</f>
        <v>　　年　月</v>
      </c>
      <c r="Q246" s="1212"/>
      <c r="R246" s="1213"/>
      <c r="S246" s="577"/>
      <c r="T246" s="577"/>
      <c r="U246" s="578"/>
      <c r="V246" s="318"/>
      <c r="W246" s="550"/>
      <c r="X246" s="1225" t="str">
        <f t="shared" ref="X246:X251" si="18">IF($B$246="","",(S246-40*DAY(EOMONTH(DATE(YEAR($X$27),MONTH($X$27)+6,DAY($X$27)),0))/7*V246)/V246)</f>
        <v/>
      </c>
      <c r="Y246" s="1226"/>
      <c r="Z246" s="1231" t="str">
        <f>IF(B246="","",IF(COUNTIF(N246:O251,"&gt;=45")+COUNTIF(X246:Y251,"&gt;=45")&gt;0,"A'≧45　あり","全月　　A'＜45"))</f>
        <v/>
      </c>
      <c r="AA246" s="1232"/>
    </row>
    <row r="247" spans="2:27" ht="17.25" customHeight="1" x14ac:dyDescent="0.15">
      <c r="B247" s="564"/>
      <c r="C247" s="1068"/>
      <c r="D247" s="565"/>
      <c r="E247" s="237"/>
      <c r="F247" s="1211" t="str">
        <f>IF($B246="","　　年　月",DATE(YEAR($I$27),MONTH($I$27)+1,DAY($I$27)))</f>
        <v>　　年　月</v>
      </c>
      <c r="G247" s="1212"/>
      <c r="H247" s="1213"/>
      <c r="I247" s="551"/>
      <c r="J247" s="551"/>
      <c r="K247" s="552"/>
      <c r="L247" s="318"/>
      <c r="M247" s="550"/>
      <c r="N247" s="1209" t="str">
        <f t="shared" si="17"/>
        <v/>
      </c>
      <c r="O247" s="1210"/>
      <c r="P247" s="1212" t="str">
        <f>IF($B246="","　　年　月",DATE(YEAR($I$27),MONTH($I$27)+7,DAY($I$27)))</f>
        <v>　　年　月</v>
      </c>
      <c r="Q247" s="1212"/>
      <c r="R247" s="1213"/>
      <c r="S247" s="551"/>
      <c r="T247" s="551"/>
      <c r="U247" s="552"/>
      <c r="V247" s="318"/>
      <c r="W247" s="550"/>
      <c r="X247" s="1209" t="str">
        <f t="shared" si="18"/>
        <v/>
      </c>
      <c r="Y247" s="1210"/>
      <c r="Z247" s="1221"/>
      <c r="AA247" s="1222"/>
    </row>
    <row r="248" spans="2:27" ht="17.25" customHeight="1" x14ac:dyDescent="0.15">
      <c r="B248" s="564"/>
      <c r="C248" s="1068"/>
      <c r="D248" s="565"/>
      <c r="E248" s="237"/>
      <c r="F248" s="1211" t="str">
        <f>IF($B246="","　　年　月",DATE(YEAR($I$27),MONTH($I$27)+2,DAY($I$27)))</f>
        <v>　　年　月</v>
      </c>
      <c r="G248" s="1212"/>
      <c r="H248" s="1213"/>
      <c r="I248" s="551"/>
      <c r="J248" s="551"/>
      <c r="K248" s="552"/>
      <c r="L248" s="318"/>
      <c r="M248" s="550"/>
      <c r="N248" s="1209" t="str">
        <f t="shared" si="17"/>
        <v/>
      </c>
      <c r="O248" s="1210"/>
      <c r="P248" s="1212" t="str">
        <f>IF($B246="","　　年　月",DATE(YEAR($I$27),MONTH($I$27)+8,DAY($I$27)))</f>
        <v>　　年　月</v>
      </c>
      <c r="Q248" s="1212"/>
      <c r="R248" s="1213"/>
      <c r="S248" s="551"/>
      <c r="T248" s="551"/>
      <c r="U248" s="552"/>
      <c r="V248" s="318"/>
      <c r="W248" s="550"/>
      <c r="X248" s="1209" t="str">
        <f t="shared" si="18"/>
        <v/>
      </c>
      <c r="Y248" s="1210"/>
      <c r="Z248" s="1221"/>
      <c r="AA248" s="1222"/>
    </row>
    <row r="249" spans="2:27" ht="17.25" customHeight="1" x14ac:dyDescent="0.15">
      <c r="B249" s="564"/>
      <c r="C249" s="1068"/>
      <c r="D249" s="565"/>
      <c r="E249" s="237"/>
      <c r="F249" s="1211" t="str">
        <f>IF($B246="","　　年　月",DATE(YEAR($I$27),MONTH($I$27)+3,DAY($I$27)))</f>
        <v>　　年　月</v>
      </c>
      <c r="G249" s="1212"/>
      <c r="H249" s="1213"/>
      <c r="I249" s="551"/>
      <c r="J249" s="551"/>
      <c r="K249" s="552"/>
      <c r="L249" s="318"/>
      <c r="M249" s="550"/>
      <c r="N249" s="1209" t="str">
        <f t="shared" si="17"/>
        <v/>
      </c>
      <c r="O249" s="1210"/>
      <c r="P249" s="1212" t="str">
        <f>IF($B246="","　　年　月",DATE(YEAR($I$27),MONTH($I$27)+9,DAY($I$27)))</f>
        <v>　　年　月</v>
      </c>
      <c r="Q249" s="1212"/>
      <c r="R249" s="1213"/>
      <c r="S249" s="551"/>
      <c r="T249" s="551"/>
      <c r="U249" s="552"/>
      <c r="V249" s="318"/>
      <c r="W249" s="550"/>
      <c r="X249" s="1209" t="str">
        <f t="shared" si="18"/>
        <v/>
      </c>
      <c r="Y249" s="1210"/>
      <c r="Z249" s="1221"/>
      <c r="AA249" s="1222"/>
    </row>
    <row r="250" spans="2:27" ht="17.25" customHeight="1" x14ac:dyDescent="0.15">
      <c r="B250" s="564"/>
      <c r="C250" s="1068"/>
      <c r="D250" s="565"/>
      <c r="E250" s="237"/>
      <c r="F250" s="1211" t="str">
        <f>IF($B246="","　　年　月",DATE(YEAR($I$27),MONTH($I$27)+4,DAY($I$27)))</f>
        <v>　　年　月</v>
      </c>
      <c r="G250" s="1212"/>
      <c r="H250" s="1213"/>
      <c r="I250" s="551"/>
      <c r="J250" s="551"/>
      <c r="K250" s="552"/>
      <c r="L250" s="318"/>
      <c r="M250" s="550"/>
      <c r="N250" s="1209" t="str">
        <f t="shared" si="17"/>
        <v/>
      </c>
      <c r="O250" s="1210"/>
      <c r="P250" s="1212" t="str">
        <f>IF($B246="","　　年　月",DATE(YEAR($I$27),MONTH($I$27)+10,DAY($I$27)))</f>
        <v>　　年　月</v>
      </c>
      <c r="Q250" s="1212"/>
      <c r="R250" s="1213"/>
      <c r="S250" s="551"/>
      <c r="T250" s="551"/>
      <c r="U250" s="552"/>
      <c r="V250" s="318"/>
      <c r="W250" s="550"/>
      <c r="X250" s="1209" t="str">
        <f t="shared" si="18"/>
        <v/>
      </c>
      <c r="Y250" s="1210"/>
      <c r="Z250" s="1221"/>
      <c r="AA250" s="1222"/>
    </row>
    <row r="251" spans="2:27" ht="17.25" customHeight="1" thickBot="1" x14ac:dyDescent="0.2">
      <c r="B251" s="566"/>
      <c r="C251" s="567"/>
      <c r="D251" s="568"/>
      <c r="E251" s="237"/>
      <c r="F251" s="1211" t="str">
        <f>IF($B246="","　　年　月",DATE(YEAR($I$27),MONTH($I$27)+5,DAY($I$27)))</f>
        <v>　　年　月</v>
      </c>
      <c r="G251" s="1212"/>
      <c r="H251" s="1213"/>
      <c r="I251" s="551"/>
      <c r="J251" s="551"/>
      <c r="K251" s="552"/>
      <c r="L251" s="318"/>
      <c r="M251" s="550"/>
      <c r="N251" s="1214" t="str">
        <f t="shared" si="17"/>
        <v/>
      </c>
      <c r="O251" s="1215"/>
      <c r="P251" s="1212" t="str">
        <f>IF($B246="","　　年　月",DATE(YEAR($I$27),MONTH($I$27)+11,DAY($I$27)))</f>
        <v>　　年　月</v>
      </c>
      <c r="Q251" s="1212"/>
      <c r="R251" s="1213"/>
      <c r="S251" s="551"/>
      <c r="T251" s="551"/>
      <c r="U251" s="552"/>
      <c r="V251" s="318"/>
      <c r="W251" s="550"/>
      <c r="X251" s="1223" t="str">
        <f t="shared" si="18"/>
        <v/>
      </c>
      <c r="Y251" s="1224"/>
      <c r="Z251" s="1221"/>
      <c r="AA251" s="1222"/>
    </row>
    <row r="252" spans="2:27" ht="17.25" customHeight="1" thickTop="1" x14ac:dyDescent="0.15">
      <c r="B252" s="564"/>
      <c r="C252" s="1068"/>
      <c r="D252" s="565"/>
      <c r="E252" s="237"/>
      <c r="F252" s="1211" t="str">
        <f>IF($B252="","　　年　月",DATE(YEAR($I$27),MONTH($I$27),DAY($I$27)))</f>
        <v>　　年　月</v>
      </c>
      <c r="G252" s="1212"/>
      <c r="H252" s="1213"/>
      <c r="I252" s="1218"/>
      <c r="J252" s="1218"/>
      <c r="K252" s="570"/>
      <c r="L252" s="571"/>
      <c r="M252" s="572"/>
      <c r="N252" s="1225" t="str">
        <f t="shared" ref="N252:N257" si="19">IF($B$252="","",(I252-40*DAY(EOMONTH(DATE(YEAR($X$27),MONTH($X$27),DAY($X$27)),0))/7*L252)/L252)</f>
        <v/>
      </c>
      <c r="O252" s="1226"/>
      <c r="P252" s="1212" t="str">
        <f>IF($B252="","　　年　月",DATE(YEAR($I$27),MONTH($I$27)+6,DAY($I$27)))</f>
        <v>　　年　月</v>
      </c>
      <c r="Q252" s="1212"/>
      <c r="R252" s="1213"/>
      <c r="S252" s="1218"/>
      <c r="T252" s="1218"/>
      <c r="U252" s="570"/>
      <c r="V252" s="571"/>
      <c r="W252" s="572"/>
      <c r="X252" s="1225" t="str">
        <f t="shared" ref="X252:X257" si="20">IF($B$252="","",(S252-40*DAY(EOMONTH(DATE(YEAR($X$27),MONTH($X$27)+6,DAY($X$27)),0))/7*V252)/V252)</f>
        <v/>
      </c>
      <c r="Y252" s="1226"/>
      <c r="Z252" s="1227" t="str">
        <f>IF(B252="","",IF(COUNTIF(N252:O257,"&gt;=45")+COUNTIF(X252:Y257,"&gt;=45")&gt;0,"A'≧45　あり","全月　　A'＜45"))</f>
        <v/>
      </c>
      <c r="AA252" s="1228"/>
    </row>
    <row r="253" spans="2:27" ht="17.25" customHeight="1" x14ac:dyDescent="0.15">
      <c r="B253" s="564"/>
      <c r="C253" s="1068"/>
      <c r="D253" s="565"/>
      <c r="E253" s="237"/>
      <c r="F253" s="1211" t="str">
        <f>IF($B252="","　　年　月",DATE(YEAR($I$27),MONTH($I$27)+1,DAY($I$27)))</f>
        <v>　　年　月</v>
      </c>
      <c r="G253" s="1212"/>
      <c r="H253" s="1213"/>
      <c r="I253" s="551"/>
      <c r="J253" s="551"/>
      <c r="K253" s="552"/>
      <c r="L253" s="318"/>
      <c r="M253" s="550"/>
      <c r="N253" s="1209" t="str">
        <f t="shared" si="19"/>
        <v/>
      </c>
      <c r="O253" s="1210"/>
      <c r="P253" s="1212" t="str">
        <f>IF($B252="","　　年　月",DATE(YEAR($I$27),MONTH($I$27)+7,DAY($I$27)))</f>
        <v>　　年　月</v>
      </c>
      <c r="Q253" s="1212"/>
      <c r="R253" s="1213"/>
      <c r="S253" s="551"/>
      <c r="T253" s="551"/>
      <c r="U253" s="552"/>
      <c r="V253" s="318"/>
      <c r="W253" s="550"/>
      <c r="X253" s="1209" t="str">
        <f t="shared" si="20"/>
        <v/>
      </c>
      <c r="Y253" s="1210"/>
      <c r="Z253" s="1221"/>
      <c r="AA253" s="1222"/>
    </row>
    <row r="254" spans="2:27" ht="17.25" customHeight="1" x14ac:dyDescent="0.15">
      <c r="B254" s="564"/>
      <c r="C254" s="1068"/>
      <c r="D254" s="565"/>
      <c r="E254" s="237"/>
      <c r="F254" s="1211" t="str">
        <f>IF($B252="","　　年　月",DATE(YEAR($I$27),MONTH($I$27)+2,DAY($I$27)))</f>
        <v>　　年　月</v>
      </c>
      <c r="G254" s="1212"/>
      <c r="H254" s="1213"/>
      <c r="I254" s="551"/>
      <c r="J254" s="551"/>
      <c r="K254" s="552"/>
      <c r="L254" s="318"/>
      <c r="M254" s="550"/>
      <c r="N254" s="1209" t="str">
        <f t="shared" si="19"/>
        <v/>
      </c>
      <c r="O254" s="1210"/>
      <c r="P254" s="1212" t="str">
        <f>IF($B252="","　　年　月",DATE(YEAR($I$27),MONTH($I$27)+8,DAY($I$27)))</f>
        <v>　　年　月</v>
      </c>
      <c r="Q254" s="1212"/>
      <c r="R254" s="1213"/>
      <c r="S254" s="551"/>
      <c r="T254" s="551"/>
      <c r="U254" s="552"/>
      <c r="V254" s="318"/>
      <c r="W254" s="550"/>
      <c r="X254" s="1209" t="str">
        <f t="shared" si="20"/>
        <v/>
      </c>
      <c r="Y254" s="1210"/>
      <c r="Z254" s="1221"/>
      <c r="AA254" s="1222"/>
    </row>
    <row r="255" spans="2:27" ht="17.25" customHeight="1" x14ac:dyDescent="0.15">
      <c r="B255" s="564"/>
      <c r="C255" s="1068"/>
      <c r="D255" s="565"/>
      <c r="E255" s="237"/>
      <c r="F255" s="1211" t="str">
        <f>IF($B252="","　　年　月",DATE(YEAR($I$27),MONTH($I$27)+3,DAY($I$27)))</f>
        <v>　　年　月</v>
      </c>
      <c r="G255" s="1212"/>
      <c r="H255" s="1213"/>
      <c r="I255" s="551"/>
      <c r="J255" s="551"/>
      <c r="K255" s="552"/>
      <c r="L255" s="318"/>
      <c r="M255" s="550"/>
      <c r="N255" s="1209" t="str">
        <f t="shared" si="19"/>
        <v/>
      </c>
      <c r="O255" s="1210"/>
      <c r="P255" s="1212" t="str">
        <f>IF($B252="","　　年　月",DATE(YEAR($I$27),MONTH($I$27)+9,DAY($I$27)))</f>
        <v>　　年　月</v>
      </c>
      <c r="Q255" s="1212"/>
      <c r="R255" s="1213"/>
      <c r="S255" s="551"/>
      <c r="T255" s="551"/>
      <c r="U255" s="552"/>
      <c r="V255" s="318"/>
      <c r="W255" s="550"/>
      <c r="X255" s="1209" t="str">
        <f t="shared" si="20"/>
        <v/>
      </c>
      <c r="Y255" s="1210"/>
      <c r="Z255" s="1221"/>
      <c r="AA255" s="1222"/>
    </row>
    <row r="256" spans="2:27" ht="17.25" customHeight="1" x14ac:dyDescent="0.15">
      <c r="B256" s="564"/>
      <c r="C256" s="1068"/>
      <c r="D256" s="565"/>
      <c r="E256" s="237"/>
      <c r="F256" s="1211" t="str">
        <f>IF($B252="","　　年　月",DATE(YEAR($I$27),MONTH($I$27)+4,DAY($I$27)))</f>
        <v>　　年　月</v>
      </c>
      <c r="G256" s="1212"/>
      <c r="H256" s="1213"/>
      <c r="I256" s="551"/>
      <c r="J256" s="551"/>
      <c r="K256" s="552"/>
      <c r="L256" s="318"/>
      <c r="M256" s="550"/>
      <c r="N256" s="1209" t="str">
        <f t="shared" si="19"/>
        <v/>
      </c>
      <c r="O256" s="1210"/>
      <c r="P256" s="1212" t="str">
        <f>IF($B252="","　　年　月",DATE(YEAR($I$27),MONTH($I$27)+10,DAY($I$27)))</f>
        <v>　　年　月</v>
      </c>
      <c r="Q256" s="1212"/>
      <c r="R256" s="1213"/>
      <c r="S256" s="551"/>
      <c r="T256" s="551"/>
      <c r="U256" s="552"/>
      <c r="V256" s="318"/>
      <c r="W256" s="550"/>
      <c r="X256" s="1209" t="str">
        <f t="shared" si="20"/>
        <v/>
      </c>
      <c r="Y256" s="1210"/>
      <c r="Z256" s="1221"/>
      <c r="AA256" s="1222"/>
    </row>
    <row r="257" spans="2:27" ht="17.25" customHeight="1" thickBot="1" x14ac:dyDescent="0.2">
      <c r="B257" s="566"/>
      <c r="C257" s="567"/>
      <c r="D257" s="568"/>
      <c r="E257" s="237"/>
      <c r="F257" s="1211" t="str">
        <f>IF($B252="","　　年　月",DATE(YEAR($I$27),MONTH($I$27)+5,DAY($I$27)))</f>
        <v>　　年　月</v>
      </c>
      <c r="G257" s="1212"/>
      <c r="H257" s="1213"/>
      <c r="I257" s="551"/>
      <c r="J257" s="551"/>
      <c r="K257" s="552"/>
      <c r="L257" s="318"/>
      <c r="M257" s="550"/>
      <c r="N257" s="1223" t="str">
        <f t="shared" si="19"/>
        <v/>
      </c>
      <c r="O257" s="1224"/>
      <c r="P257" s="1212" t="str">
        <f>IF($B252="","　　年　月",DATE(YEAR($I$27),MONTH($I$27)+11,DAY($I$27)))</f>
        <v>　　年　月</v>
      </c>
      <c r="Q257" s="1212"/>
      <c r="R257" s="1213"/>
      <c r="S257" s="551"/>
      <c r="T257" s="551"/>
      <c r="U257" s="552"/>
      <c r="V257" s="318"/>
      <c r="W257" s="550"/>
      <c r="X257" s="1223" t="str">
        <f t="shared" si="20"/>
        <v/>
      </c>
      <c r="Y257" s="1224"/>
      <c r="Z257" s="1229"/>
      <c r="AA257" s="1230"/>
    </row>
    <row r="258" spans="2:27" ht="17.25" customHeight="1" thickTop="1" x14ac:dyDescent="0.15">
      <c r="B258" s="564"/>
      <c r="C258" s="1068"/>
      <c r="D258" s="565"/>
      <c r="E258" s="237"/>
      <c r="F258" s="1211" t="str">
        <f>IF($B258="","　　年　月",DATE(YEAR($I$27),MONTH($I$27),DAY($I$27)))</f>
        <v>　　年　月</v>
      </c>
      <c r="G258" s="1212"/>
      <c r="H258" s="1213"/>
      <c r="I258" s="1218"/>
      <c r="J258" s="1218"/>
      <c r="K258" s="570"/>
      <c r="L258" s="571"/>
      <c r="M258" s="572"/>
      <c r="N258" s="1219" t="str">
        <f t="shared" ref="N258:N263" si="21">IF($B$258="","",(I258-40*DAY(EOMONTH(DATE(YEAR($X$27),MONTH($X$27),DAY($X$27)),0))/7*L258)/L258)</f>
        <v/>
      </c>
      <c r="O258" s="1220"/>
      <c r="P258" s="1212" t="str">
        <f>IF($B258="","　　年　月",DATE(YEAR($I$27),MONTH($I$27)+6,DAY($I$27)))</f>
        <v>　　年　月</v>
      </c>
      <c r="Q258" s="1212"/>
      <c r="R258" s="1213"/>
      <c r="S258" s="1218"/>
      <c r="T258" s="1218"/>
      <c r="U258" s="570"/>
      <c r="V258" s="571"/>
      <c r="W258" s="572"/>
      <c r="X258" s="1219" t="str">
        <f t="shared" ref="X258:X263" si="22">IF($B$258="","",(S258-40*DAY(EOMONTH(DATE(YEAR($X$27),MONTH($X$27)+6,DAY($X$27)),0))/7*V258)/V258)</f>
        <v/>
      </c>
      <c r="Y258" s="1220"/>
      <c r="Z258" s="1221" t="str">
        <f>IF(B258="","",IF(COUNTIF(N258:O263,"&gt;=45")+COUNTIF(X258:Y263,"&gt;=45")&gt;0,"A'≧45　あり","全月　　A'＜45"))</f>
        <v/>
      </c>
      <c r="AA258" s="1222"/>
    </row>
    <row r="259" spans="2:27" ht="17.25" customHeight="1" x14ac:dyDescent="0.15">
      <c r="B259" s="564"/>
      <c r="C259" s="1068"/>
      <c r="D259" s="565"/>
      <c r="E259" s="237"/>
      <c r="F259" s="1211" t="str">
        <f>IF($B258="","　　年　月",DATE(YEAR($I$27),MONTH($I$27)+1,DAY($I$27)))</f>
        <v>　　年　月</v>
      </c>
      <c r="G259" s="1212"/>
      <c r="H259" s="1213"/>
      <c r="I259" s="551"/>
      <c r="J259" s="551"/>
      <c r="K259" s="552"/>
      <c r="L259" s="318"/>
      <c r="M259" s="550"/>
      <c r="N259" s="1209" t="str">
        <f t="shared" si="21"/>
        <v/>
      </c>
      <c r="O259" s="1210"/>
      <c r="P259" s="1212" t="str">
        <f>IF($B258="","　　年　月",DATE(YEAR($I$27),MONTH($I$27)+7,DAY($I$27)))</f>
        <v>　　年　月</v>
      </c>
      <c r="Q259" s="1212"/>
      <c r="R259" s="1213"/>
      <c r="S259" s="551"/>
      <c r="T259" s="551"/>
      <c r="U259" s="552"/>
      <c r="V259" s="318"/>
      <c r="W259" s="550"/>
      <c r="X259" s="1209" t="str">
        <f t="shared" si="22"/>
        <v/>
      </c>
      <c r="Y259" s="1210"/>
      <c r="Z259" s="1221"/>
      <c r="AA259" s="1222"/>
    </row>
    <row r="260" spans="2:27" ht="17.25" customHeight="1" x14ac:dyDescent="0.15">
      <c r="B260" s="564"/>
      <c r="C260" s="1068"/>
      <c r="D260" s="565"/>
      <c r="E260" s="237"/>
      <c r="F260" s="1211" t="str">
        <f>IF($B258="","　　年　月",DATE(YEAR($I$27),MONTH($I$27)+2,DAY($I$27)))</f>
        <v>　　年　月</v>
      </c>
      <c r="G260" s="1212"/>
      <c r="H260" s="1213"/>
      <c r="I260" s="551"/>
      <c r="J260" s="551"/>
      <c r="K260" s="552"/>
      <c r="L260" s="318"/>
      <c r="M260" s="550"/>
      <c r="N260" s="1209" t="str">
        <f t="shared" si="21"/>
        <v/>
      </c>
      <c r="O260" s="1210"/>
      <c r="P260" s="1212" t="str">
        <f>IF($B258="","　　年　月",DATE(YEAR($I$27),MONTH($I$27)+8,DAY($I$27)))</f>
        <v>　　年　月</v>
      </c>
      <c r="Q260" s="1212"/>
      <c r="R260" s="1213"/>
      <c r="S260" s="551"/>
      <c r="T260" s="551"/>
      <c r="U260" s="552"/>
      <c r="V260" s="318"/>
      <c r="W260" s="550"/>
      <c r="X260" s="1209" t="str">
        <f t="shared" si="22"/>
        <v/>
      </c>
      <c r="Y260" s="1210"/>
      <c r="Z260" s="1221"/>
      <c r="AA260" s="1222"/>
    </row>
    <row r="261" spans="2:27" ht="17.25" customHeight="1" x14ac:dyDescent="0.15">
      <c r="B261" s="564"/>
      <c r="C261" s="1068"/>
      <c r="D261" s="565"/>
      <c r="E261" s="237"/>
      <c r="F261" s="1211" t="str">
        <f>IF($B258="","　　年　月",DATE(YEAR($I$27),MONTH($I$27)+3,DAY($I$27)))</f>
        <v>　　年　月</v>
      </c>
      <c r="G261" s="1212"/>
      <c r="H261" s="1213"/>
      <c r="I261" s="551"/>
      <c r="J261" s="551"/>
      <c r="K261" s="552"/>
      <c r="L261" s="318"/>
      <c r="M261" s="550"/>
      <c r="N261" s="1209" t="str">
        <f t="shared" si="21"/>
        <v/>
      </c>
      <c r="O261" s="1210"/>
      <c r="P261" s="1212" t="str">
        <f>IF($B258="","　　年　月",DATE(YEAR($I$27),MONTH($I$27)+9,DAY($I$27)))</f>
        <v>　　年　月</v>
      </c>
      <c r="Q261" s="1212"/>
      <c r="R261" s="1213"/>
      <c r="S261" s="551"/>
      <c r="T261" s="551"/>
      <c r="U261" s="552"/>
      <c r="V261" s="318"/>
      <c r="W261" s="550"/>
      <c r="X261" s="1209" t="str">
        <f t="shared" si="22"/>
        <v/>
      </c>
      <c r="Y261" s="1210"/>
      <c r="Z261" s="1221"/>
      <c r="AA261" s="1222"/>
    </row>
    <row r="262" spans="2:27" ht="17.25" customHeight="1" x14ac:dyDescent="0.15">
      <c r="B262" s="564"/>
      <c r="C262" s="1068"/>
      <c r="D262" s="565"/>
      <c r="E262" s="237"/>
      <c r="F262" s="1211" t="str">
        <f>IF($B258="","　　年　月",DATE(YEAR($I$27),MONTH($I$27)+4,DAY($I$27)))</f>
        <v>　　年　月</v>
      </c>
      <c r="G262" s="1212"/>
      <c r="H262" s="1213"/>
      <c r="I262" s="551"/>
      <c r="J262" s="551"/>
      <c r="K262" s="552"/>
      <c r="L262" s="318"/>
      <c r="M262" s="550"/>
      <c r="N262" s="1209" t="str">
        <f t="shared" si="21"/>
        <v/>
      </c>
      <c r="O262" s="1210"/>
      <c r="P262" s="1212" t="str">
        <f>IF($B258="","　　年　月",DATE(YEAR($I$27),MONTH($I$27)+10,DAY($I$27)))</f>
        <v>　　年　月</v>
      </c>
      <c r="Q262" s="1212"/>
      <c r="R262" s="1213"/>
      <c r="S262" s="551"/>
      <c r="T262" s="551"/>
      <c r="U262" s="552"/>
      <c r="V262" s="318"/>
      <c r="W262" s="550"/>
      <c r="X262" s="1209" t="str">
        <f t="shared" si="22"/>
        <v/>
      </c>
      <c r="Y262" s="1210"/>
      <c r="Z262" s="1221"/>
      <c r="AA262" s="1222"/>
    </row>
    <row r="263" spans="2:27" ht="17.25" customHeight="1" thickBot="1" x14ac:dyDescent="0.2">
      <c r="B263" s="566"/>
      <c r="C263" s="567"/>
      <c r="D263" s="568"/>
      <c r="E263" s="237"/>
      <c r="F263" s="1211" t="str">
        <f>IF($B258="","　　年　月",DATE(YEAR($I$27),MONTH($I$27)+5,DAY($I$27)))</f>
        <v>　　年　月</v>
      </c>
      <c r="G263" s="1212"/>
      <c r="H263" s="1213"/>
      <c r="I263" s="577"/>
      <c r="J263" s="577"/>
      <c r="K263" s="578"/>
      <c r="L263" s="579"/>
      <c r="M263" s="580"/>
      <c r="N263" s="1214" t="str">
        <f t="shared" si="21"/>
        <v/>
      </c>
      <c r="O263" s="1215"/>
      <c r="P263" s="1212" t="str">
        <f>IF($B258="","　　年　月",DATE(YEAR($I$27),MONTH($I$27)+11,DAY($I$27)))</f>
        <v>　　年　月</v>
      </c>
      <c r="Q263" s="1212"/>
      <c r="R263" s="1213"/>
      <c r="S263" s="577"/>
      <c r="T263" s="577"/>
      <c r="U263" s="578"/>
      <c r="V263" s="579"/>
      <c r="W263" s="580"/>
      <c r="X263" s="1216" t="str">
        <f t="shared" si="22"/>
        <v/>
      </c>
      <c r="Y263" s="1217"/>
      <c r="Z263" s="1221"/>
      <c r="AA263" s="1222"/>
    </row>
    <row r="264" spans="2:27" ht="27.75" customHeight="1" thickTop="1" thickBot="1" x14ac:dyDescent="0.2">
      <c r="F264" s="1204" t="s">
        <v>189</v>
      </c>
      <c r="G264" s="1205"/>
      <c r="H264" s="1205"/>
      <c r="I264" s="1205"/>
      <c r="J264" s="1205"/>
      <c r="K264" s="1205"/>
      <c r="L264" s="1205"/>
      <c r="M264" s="1205"/>
      <c r="N264" s="1205"/>
      <c r="O264" s="1205"/>
      <c r="P264" s="1205"/>
      <c r="Q264" s="1205"/>
      <c r="R264" s="1205"/>
      <c r="S264" s="1205"/>
      <c r="T264" s="1205"/>
      <c r="U264" s="1205"/>
      <c r="V264" s="1205"/>
      <c r="W264" s="1206"/>
      <c r="X264" s="559"/>
      <c r="Y264" s="560"/>
      <c r="Z264" s="560"/>
      <c r="AA264" s="561"/>
    </row>
    <row r="265" spans="2:27" ht="17.25" customHeight="1" thickTop="1" x14ac:dyDescent="0.15">
      <c r="AA265" s="165" t="str">
        <f>IF(G23="","",IF(X264="","リストから選択↑　",""))</f>
        <v>リストから選択↑　</v>
      </c>
    </row>
    <row r="266" spans="2:27" ht="17.25" customHeight="1" x14ac:dyDescent="0.15"/>
    <row r="267" spans="2:27" ht="17.25" customHeight="1" x14ac:dyDescent="0.15">
      <c r="B267" s="172" t="s">
        <v>199</v>
      </c>
      <c r="C267" s="172"/>
      <c r="D267" s="172"/>
      <c r="E267" s="172"/>
      <c r="F267" s="172"/>
      <c r="G267" s="172"/>
      <c r="H267" s="172"/>
      <c r="I267" s="172"/>
      <c r="J267" s="172"/>
      <c r="K267" s="172"/>
      <c r="L267" s="172"/>
      <c r="M267" s="172"/>
      <c r="N267" s="172"/>
      <c r="O267" s="172"/>
      <c r="P267" s="172"/>
      <c r="Q267" s="172"/>
      <c r="R267" s="172"/>
      <c r="S267" s="172"/>
      <c r="T267" s="172"/>
      <c r="U267" s="172"/>
      <c r="V267" s="172"/>
      <c r="W267" s="172"/>
      <c r="X267" s="172"/>
      <c r="Y267" s="172"/>
      <c r="Z267" s="172"/>
    </row>
    <row r="268" spans="2:27" ht="27.75" customHeight="1" x14ac:dyDescent="0.15">
      <c r="C268" s="1207" t="s">
        <v>246</v>
      </c>
      <c r="D268" s="1208"/>
      <c r="E268" s="1208"/>
      <c r="F268" s="1208"/>
      <c r="G268" s="1208"/>
      <c r="H268" s="1208"/>
      <c r="I268" s="1208"/>
      <c r="J268" s="1208"/>
      <c r="K268" s="1208"/>
      <c r="L268" s="1208"/>
      <c r="M268" s="1208"/>
      <c r="N268" s="1208"/>
      <c r="O268" s="1208"/>
      <c r="P268" s="1208"/>
      <c r="Q268" s="1208"/>
      <c r="R268" s="1208"/>
      <c r="S268" s="1208"/>
      <c r="T268" s="1208"/>
      <c r="U268" s="1208"/>
      <c r="V268" s="1208"/>
      <c r="W268" s="1208"/>
      <c r="X268" s="1208"/>
      <c r="Y268" s="1208"/>
      <c r="Z268" s="1208"/>
      <c r="AA268" s="1208"/>
    </row>
    <row r="269" spans="2:27" s="172" customFormat="1" ht="47.25" customHeight="1" x14ac:dyDescent="0.15">
      <c r="B269" s="1085" t="s">
        <v>200</v>
      </c>
      <c r="C269" s="1089"/>
      <c r="D269" s="1090"/>
      <c r="E269" s="233"/>
      <c r="F269" s="1085" t="s">
        <v>0</v>
      </c>
      <c r="G269" s="1086"/>
      <c r="H269" s="1087"/>
      <c r="I269" s="1085" t="s">
        <v>190</v>
      </c>
      <c r="J269" s="1086"/>
      <c r="K269" s="1086"/>
      <c r="L269" s="1086"/>
      <c r="M269" s="1085" t="s">
        <v>191</v>
      </c>
      <c r="N269" s="1086"/>
      <c r="O269" s="1086"/>
      <c r="P269" s="1087"/>
    </row>
    <row r="270" spans="2:27" ht="17.25" customHeight="1" x14ac:dyDescent="0.15">
      <c r="B270" s="1193">
        <f>IF(OR($X$237="非該当",$X$264="非該当"),DATE(YEAR($I$27),MONTH($I$27),DAY($I$27)),"")</f>
        <v>45748</v>
      </c>
      <c r="C270" s="1194"/>
      <c r="D270" s="1195"/>
      <c r="E270" s="254"/>
      <c r="F270" s="553" t="s">
        <v>265</v>
      </c>
      <c r="G270" s="554"/>
      <c r="H270" s="555"/>
      <c r="I270" s="516">
        <v>2</v>
      </c>
      <c r="J270" s="517"/>
      <c r="K270" s="517"/>
      <c r="L270" s="517"/>
      <c r="M270" s="518">
        <v>16.7</v>
      </c>
      <c r="N270" s="519"/>
      <c r="O270" s="519"/>
      <c r="P270" s="520"/>
      <c r="Q270" s="255" t="str">
        <f>IF(B270="","",IF(M270&gt;0,"","※Ｃ＝（各月の時間外労働時間数(X)の合計）"))</f>
        <v/>
      </c>
      <c r="R270" s="256"/>
      <c r="S270" s="256"/>
      <c r="T270" s="256"/>
      <c r="U270" s="256"/>
      <c r="V270" s="256"/>
      <c r="W270" s="256"/>
      <c r="X270" s="256"/>
      <c r="Y270" s="256"/>
      <c r="Z270" s="256"/>
      <c r="AA270" s="256"/>
    </row>
    <row r="271" spans="2:27" ht="17.25" customHeight="1" x14ac:dyDescent="0.15">
      <c r="B271" s="1196"/>
      <c r="C271" s="1197"/>
      <c r="D271" s="1198"/>
      <c r="E271" s="254"/>
      <c r="F271" s="553" t="s">
        <v>257</v>
      </c>
      <c r="G271" s="554"/>
      <c r="H271" s="555"/>
      <c r="I271" s="516">
        <v>1</v>
      </c>
      <c r="J271" s="517"/>
      <c r="K271" s="517"/>
      <c r="L271" s="517"/>
      <c r="M271" s="518">
        <v>13.1</v>
      </c>
      <c r="N271" s="519"/>
      <c r="O271" s="519"/>
      <c r="P271" s="520"/>
      <c r="Q271" s="257" t="str">
        <f>IF(B270="","",IF(M270&gt;0,"","　　÷（各月の対象労働者数(Y)の合計）"))</f>
        <v/>
      </c>
      <c r="R271" s="258"/>
      <c r="S271" s="258"/>
      <c r="T271" s="258"/>
      <c r="U271" s="258"/>
      <c r="V271" s="258"/>
      <c r="W271" s="258"/>
      <c r="X271" s="258"/>
      <c r="Y271" s="258"/>
      <c r="Z271" s="258"/>
      <c r="AA271" s="258"/>
    </row>
    <row r="272" spans="2:27" ht="17.25" customHeight="1" x14ac:dyDescent="0.15">
      <c r="B272" s="1199"/>
      <c r="C272" s="1200"/>
      <c r="D272" s="1201"/>
      <c r="E272" s="254"/>
      <c r="F272" s="553"/>
      <c r="G272" s="554"/>
      <c r="H272" s="555"/>
      <c r="I272" s="516"/>
      <c r="J272" s="517"/>
      <c r="K272" s="517"/>
      <c r="L272" s="517"/>
      <c r="M272" s="518"/>
      <c r="N272" s="519"/>
      <c r="O272" s="519"/>
      <c r="P272" s="520"/>
    </row>
    <row r="273" spans="2:27" ht="17.25" customHeight="1" x14ac:dyDescent="0.15">
      <c r="B273" s="1193">
        <f>IF(OR($X$237="非該当",$X$264="非該当"),DATE(YEAR($I$27)-1,MONTH($I$27),DAY($I$27)),"")</f>
        <v>45383</v>
      </c>
      <c r="C273" s="1194"/>
      <c r="D273" s="1195"/>
      <c r="E273" s="254"/>
      <c r="F273" s="1180" t="str">
        <f>IF(F270="","",F270)</f>
        <v>営業職</v>
      </c>
      <c r="G273" s="1181"/>
      <c r="H273" s="1182"/>
      <c r="I273" s="516">
        <v>1</v>
      </c>
      <c r="J273" s="517"/>
      <c r="K273" s="517"/>
      <c r="L273" s="517"/>
      <c r="M273" s="518">
        <v>14.9</v>
      </c>
      <c r="N273" s="519"/>
      <c r="O273" s="519"/>
      <c r="P273" s="520"/>
    </row>
    <row r="274" spans="2:27" ht="17.25" customHeight="1" x14ac:dyDescent="0.15">
      <c r="B274" s="1196"/>
      <c r="C274" s="1197"/>
      <c r="D274" s="1198"/>
      <c r="E274" s="254"/>
      <c r="F274" s="1180" t="str">
        <f>IF(F271="","",F271)</f>
        <v>技術職</v>
      </c>
      <c r="G274" s="1181"/>
      <c r="H274" s="1182"/>
      <c r="I274" s="516">
        <v>2</v>
      </c>
      <c r="J274" s="517"/>
      <c r="K274" s="517"/>
      <c r="L274" s="517"/>
      <c r="M274" s="518">
        <v>12.8</v>
      </c>
      <c r="N274" s="519"/>
      <c r="O274" s="519"/>
      <c r="P274" s="520"/>
    </row>
    <row r="275" spans="2:27" ht="17.25" customHeight="1" x14ac:dyDescent="0.15">
      <c r="B275" s="1199"/>
      <c r="C275" s="1200"/>
      <c r="D275" s="1201"/>
      <c r="E275" s="254"/>
      <c r="F275" s="1180" t="str">
        <f>IF(F272="","",F272)</f>
        <v/>
      </c>
      <c r="G275" s="1181"/>
      <c r="H275" s="1182"/>
      <c r="I275" s="516"/>
      <c r="J275" s="517"/>
      <c r="K275" s="517"/>
      <c r="L275" s="517"/>
      <c r="M275" s="518"/>
      <c r="N275" s="519"/>
      <c r="O275" s="519"/>
      <c r="P275" s="520"/>
      <c r="Q275" s="1088" t="s">
        <v>192</v>
      </c>
      <c r="R275" s="1089"/>
      <c r="S275" s="1089"/>
      <c r="T275" s="1089"/>
      <c r="U275" s="1089"/>
      <c r="V275" s="1089"/>
      <c r="W275" s="1089"/>
      <c r="X275" s="1089"/>
      <c r="Y275" s="1089"/>
      <c r="Z275" s="1089"/>
      <c r="AA275" s="1090"/>
    </row>
    <row r="276" spans="2:27" ht="17.25" customHeight="1" x14ac:dyDescent="0.15">
      <c r="B276" s="1193">
        <f>IF(OR($X$237="非該当",$X$264="非該当"),DATE(YEAR($I$27)-2,MONTH($I$27),DAY($I$27)),"")</f>
        <v>45017</v>
      </c>
      <c r="C276" s="1194"/>
      <c r="D276" s="1195"/>
      <c r="E276" s="254"/>
      <c r="F276" s="1180" t="str">
        <f>IF(F270="","",F270)</f>
        <v>営業職</v>
      </c>
      <c r="G276" s="1181"/>
      <c r="H276" s="1182"/>
      <c r="I276" s="516">
        <v>0</v>
      </c>
      <c r="J276" s="517"/>
      <c r="K276" s="517"/>
      <c r="L276" s="517"/>
      <c r="M276" s="518">
        <v>9</v>
      </c>
      <c r="N276" s="519"/>
      <c r="O276" s="519"/>
      <c r="P276" s="520"/>
      <c r="Q276" s="1202" t="str">
        <f>IF(B276="","",P16)</f>
        <v>令和7</v>
      </c>
      <c r="R276" s="1203"/>
      <c r="S276" s="1185" t="str">
        <f>IF(F276="","",F276)</f>
        <v>営業職</v>
      </c>
      <c r="T276" s="1186"/>
      <c r="U276" s="1187"/>
      <c r="V276" s="1188">
        <f>IF(S276="","",ROUND(SUMIF(F270:H278,S276,I270:L278)/3,2))</f>
        <v>1</v>
      </c>
      <c r="W276" s="1189"/>
      <c r="X276" s="1190"/>
      <c r="Y276" s="1173">
        <f>IF(S276="","",ROUND(SUMIF(F270:H278,S276,M270:P278)/3,2))</f>
        <v>13.53</v>
      </c>
      <c r="Z276" s="1174"/>
      <c r="AA276" s="1175"/>
    </row>
    <row r="277" spans="2:27" ht="17.25" customHeight="1" x14ac:dyDescent="0.15">
      <c r="B277" s="1196"/>
      <c r="C277" s="1197"/>
      <c r="D277" s="1198"/>
      <c r="E277" s="254"/>
      <c r="F277" s="1180" t="str">
        <f>IF(F271="","",F271)</f>
        <v>技術職</v>
      </c>
      <c r="G277" s="1181"/>
      <c r="H277" s="1182"/>
      <c r="I277" s="516">
        <v>0</v>
      </c>
      <c r="J277" s="517"/>
      <c r="K277" s="517"/>
      <c r="L277" s="517"/>
      <c r="M277" s="518">
        <v>11.3</v>
      </c>
      <c r="N277" s="519"/>
      <c r="O277" s="519"/>
      <c r="P277" s="520"/>
      <c r="Q277" s="1191" t="s">
        <v>77</v>
      </c>
      <c r="R277" s="1192"/>
      <c r="S277" s="1185" t="str">
        <f t="shared" ref="S277:S281" si="23">IF(F277="","",F277)</f>
        <v>技術職</v>
      </c>
      <c r="T277" s="1186"/>
      <c r="U277" s="1187"/>
      <c r="V277" s="1188">
        <f>IF(S277="","",ROUND(SUMIF(F270:H278,S277,I270:L278)/3,2))</f>
        <v>1</v>
      </c>
      <c r="W277" s="1189"/>
      <c r="X277" s="1190"/>
      <c r="Y277" s="1173">
        <f>IF(S277="","",ROUND(SUMIF(F270:H278,S277,M270:P278)/3,2))</f>
        <v>12.4</v>
      </c>
      <c r="Z277" s="1174"/>
      <c r="AA277" s="1175"/>
    </row>
    <row r="278" spans="2:27" ht="17.25" customHeight="1" x14ac:dyDescent="0.15">
      <c r="B278" s="1199"/>
      <c r="C278" s="1200"/>
      <c r="D278" s="1201"/>
      <c r="E278" s="254"/>
      <c r="F278" s="1180" t="str">
        <f>IF(F272="","",F272)</f>
        <v/>
      </c>
      <c r="G278" s="1181"/>
      <c r="H278" s="1182"/>
      <c r="I278" s="516"/>
      <c r="J278" s="517"/>
      <c r="K278" s="517"/>
      <c r="L278" s="517"/>
      <c r="M278" s="518"/>
      <c r="N278" s="519"/>
      <c r="O278" s="519"/>
      <c r="P278" s="520"/>
      <c r="Q278" s="1183" t="str">
        <f>IF(B276="","",Q18)</f>
        <v>5年</v>
      </c>
      <c r="R278" s="1184"/>
      <c r="S278" s="1185" t="str">
        <f t="shared" si="23"/>
        <v/>
      </c>
      <c r="T278" s="1186"/>
      <c r="U278" s="1187"/>
      <c r="V278" s="1188" t="str">
        <f>IF(S278="","",ROUND(SUMIF(F270:H278,S278,I270:L278)/3,2))</f>
        <v/>
      </c>
      <c r="W278" s="1189"/>
      <c r="X278" s="1190"/>
      <c r="Y278" s="1173" t="str">
        <f>IF(S278="","",ROUND(SUMIF(F270:H278,S278,M270:P278)/3,2))</f>
        <v/>
      </c>
      <c r="Z278" s="1174"/>
      <c r="AA278" s="1175"/>
    </row>
    <row r="279" spans="2:27" ht="17.25" customHeight="1" x14ac:dyDescent="0.15">
      <c r="B279" s="1193">
        <f>IF(OR($X$237="非該当",$X$264="非該当"),DATE(YEAR($I$27)-3,MONTH($I$27),DAY($I$27)),"")</f>
        <v>44652</v>
      </c>
      <c r="C279" s="1194"/>
      <c r="D279" s="1195"/>
      <c r="E279" s="254"/>
      <c r="F279" s="1180" t="str">
        <f>IF(F276="","",F276)</f>
        <v>営業職</v>
      </c>
      <c r="G279" s="1181"/>
      <c r="H279" s="1182"/>
      <c r="I279" s="516">
        <v>0</v>
      </c>
      <c r="J279" s="517"/>
      <c r="K279" s="517"/>
      <c r="L279" s="517"/>
      <c r="M279" s="518">
        <v>9.5</v>
      </c>
      <c r="N279" s="519"/>
      <c r="O279" s="519"/>
      <c r="P279" s="520"/>
      <c r="Q279" s="1202" t="str">
        <f>IF(B279="","",P17)</f>
        <v>令和6</v>
      </c>
      <c r="R279" s="1203"/>
      <c r="S279" s="1185" t="str">
        <f t="shared" si="23"/>
        <v>営業職</v>
      </c>
      <c r="T279" s="1186"/>
      <c r="U279" s="1187"/>
      <c r="V279" s="1188">
        <f>IF(S279="","",ROUND(SUMIF(F273:H281,S279,I273:L281)/3,2))</f>
        <v>0.33</v>
      </c>
      <c r="W279" s="1189"/>
      <c r="X279" s="1190"/>
      <c r="Y279" s="1173">
        <f>IF(S279="","",ROUND(SUMIF(F273:H281,S279,M273:P281)/3,2))</f>
        <v>11.13</v>
      </c>
      <c r="Z279" s="1174"/>
      <c r="AA279" s="1175"/>
    </row>
    <row r="280" spans="2:27" ht="17.25" customHeight="1" x14ac:dyDescent="0.15">
      <c r="B280" s="1196"/>
      <c r="C280" s="1197"/>
      <c r="D280" s="1198"/>
      <c r="E280" s="254"/>
      <c r="F280" s="1180" t="str">
        <f>IF(F277="","",F277)</f>
        <v>技術職</v>
      </c>
      <c r="G280" s="1181"/>
      <c r="H280" s="1182"/>
      <c r="I280" s="516">
        <v>0</v>
      </c>
      <c r="J280" s="517"/>
      <c r="K280" s="517"/>
      <c r="L280" s="517"/>
      <c r="M280" s="518">
        <v>14.7</v>
      </c>
      <c r="N280" s="519"/>
      <c r="O280" s="519"/>
      <c r="P280" s="520"/>
      <c r="Q280" s="1191" t="s">
        <v>77</v>
      </c>
      <c r="R280" s="1192"/>
      <c r="S280" s="1185" t="str">
        <f t="shared" si="23"/>
        <v>技術職</v>
      </c>
      <c r="T280" s="1186"/>
      <c r="U280" s="1187"/>
      <c r="V280" s="1188">
        <f>IF(S280="","",ROUND(SUMIF(F273:H281,S280,I273:L281)/3,2))</f>
        <v>0.67</v>
      </c>
      <c r="W280" s="1189"/>
      <c r="X280" s="1190"/>
      <c r="Y280" s="1173">
        <f>IF(S280="","",ROUND(SUMIF(F273:H281,S280,M273:P281)/3,2))</f>
        <v>12.93</v>
      </c>
      <c r="Z280" s="1174"/>
      <c r="AA280" s="1175"/>
    </row>
    <row r="281" spans="2:27" ht="17.25" customHeight="1" x14ac:dyDescent="0.15">
      <c r="B281" s="1199"/>
      <c r="C281" s="1200"/>
      <c r="D281" s="1201"/>
      <c r="E281" s="254"/>
      <c r="F281" s="1180" t="str">
        <f>IF(F278="","",F278)</f>
        <v/>
      </c>
      <c r="G281" s="1181"/>
      <c r="H281" s="1182"/>
      <c r="I281" s="516"/>
      <c r="J281" s="517"/>
      <c r="K281" s="517"/>
      <c r="L281" s="517"/>
      <c r="M281" s="518"/>
      <c r="N281" s="519"/>
      <c r="O281" s="519"/>
      <c r="P281" s="520"/>
      <c r="Q281" s="1183" t="str">
        <f>IF(B279="","",Q19)</f>
        <v>4年</v>
      </c>
      <c r="R281" s="1184"/>
      <c r="S281" s="1185" t="str">
        <f t="shared" si="23"/>
        <v/>
      </c>
      <c r="T281" s="1186"/>
      <c r="U281" s="1187"/>
      <c r="V281" s="1188" t="str">
        <f>IF(S281="","",ROUND(SUMIF(F273:H281,S281,I273:L281)/3,2))</f>
        <v/>
      </c>
      <c r="W281" s="1189"/>
      <c r="X281" s="1190"/>
      <c r="Y281" s="1173" t="str">
        <f>IF(S281="","",ROUND(SUMIF(F273:H281,S281,M273:P281)/3,2))</f>
        <v/>
      </c>
      <c r="Z281" s="1174"/>
      <c r="AA281" s="1175"/>
    </row>
    <row r="282" spans="2:27" ht="17.25" customHeight="1" x14ac:dyDescent="0.15">
      <c r="B282" s="1193">
        <f>IF(OR($X$237="非該当",$X$264="非該当"),DATE(YEAR($I$27)-4,MONTH($I$27),DAY($I$27)),"")</f>
        <v>44287</v>
      </c>
      <c r="C282" s="1194"/>
      <c r="D282" s="1195"/>
      <c r="E282" s="254"/>
      <c r="F282" s="1180" t="str">
        <f>IF(F276="","",F276)</f>
        <v>営業職</v>
      </c>
      <c r="G282" s="1181"/>
      <c r="H282" s="1182"/>
      <c r="I282" s="516">
        <v>0</v>
      </c>
      <c r="J282" s="517"/>
      <c r="K282" s="517"/>
      <c r="L282" s="517"/>
      <c r="M282" s="518">
        <v>7.9</v>
      </c>
      <c r="N282" s="519"/>
      <c r="O282" s="519"/>
      <c r="P282" s="520"/>
      <c r="Q282" s="1202" t="str">
        <f>IF(B282="","",P18)</f>
        <v>令和5</v>
      </c>
      <c r="R282" s="1203"/>
      <c r="S282" s="1185" t="str">
        <f>IF(F282="","",F282)</f>
        <v>営業職</v>
      </c>
      <c r="T282" s="1186"/>
      <c r="U282" s="1187"/>
      <c r="V282" s="1188">
        <f>IF(S282="","",ROUND(SUMIF(F276:H284,S282,I276:L284)/3,2))</f>
        <v>0</v>
      </c>
      <c r="W282" s="1189"/>
      <c r="X282" s="1190"/>
      <c r="Y282" s="1173">
        <f>IF(S282="","",ROUND(SUMIF(F276:H284,S282,M276:P284)/3,2))</f>
        <v>8.8000000000000007</v>
      </c>
      <c r="Z282" s="1174"/>
      <c r="AA282" s="1175"/>
    </row>
    <row r="283" spans="2:27" ht="17.25" customHeight="1" x14ac:dyDescent="0.15">
      <c r="B283" s="1196"/>
      <c r="C283" s="1197"/>
      <c r="D283" s="1198"/>
      <c r="E283" s="254"/>
      <c r="F283" s="1180" t="str">
        <f>IF(F277="","",F277)</f>
        <v>技術職</v>
      </c>
      <c r="G283" s="1181"/>
      <c r="H283" s="1182"/>
      <c r="I283" s="516">
        <v>1</v>
      </c>
      <c r="J283" s="517"/>
      <c r="K283" s="517"/>
      <c r="L283" s="517"/>
      <c r="M283" s="518">
        <v>11.8</v>
      </c>
      <c r="N283" s="519"/>
      <c r="O283" s="519"/>
      <c r="P283" s="520"/>
      <c r="Q283" s="1191" t="s">
        <v>77</v>
      </c>
      <c r="R283" s="1192"/>
      <c r="S283" s="1185" t="str">
        <f t="shared" ref="S283:S284" si="24">IF(F283="","",F283)</f>
        <v>技術職</v>
      </c>
      <c r="T283" s="1186"/>
      <c r="U283" s="1187"/>
      <c r="V283" s="1188">
        <f>IF(S283="","",ROUND(SUMIF(F276:H284,S283,I276:L284)/3,2))</f>
        <v>0.33</v>
      </c>
      <c r="W283" s="1189"/>
      <c r="X283" s="1190"/>
      <c r="Y283" s="1173">
        <f>IF(S283="","",ROUND(SUMIF(F276:H284,S283,M276:P284)/3,2))</f>
        <v>12.6</v>
      </c>
      <c r="Z283" s="1174"/>
      <c r="AA283" s="1175"/>
    </row>
    <row r="284" spans="2:27" ht="17.25" customHeight="1" x14ac:dyDescent="0.15">
      <c r="B284" s="1199"/>
      <c r="C284" s="1200"/>
      <c r="D284" s="1201"/>
      <c r="E284" s="254"/>
      <c r="F284" s="1180" t="str">
        <f>IF(F278="","",F278)</f>
        <v/>
      </c>
      <c r="G284" s="1181"/>
      <c r="H284" s="1182"/>
      <c r="I284" s="516"/>
      <c r="J284" s="517"/>
      <c r="K284" s="517"/>
      <c r="L284" s="517"/>
      <c r="M284" s="518"/>
      <c r="N284" s="519"/>
      <c r="O284" s="519"/>
      <c r="P284" s="520"/>
      <c r="Q284" s="1183" t="str">
        <f>IF(B282="","",Q20)</f>
        <v>3年</v>
      </c>
      <c r="R284" s="1184"/>
      <c r="S284" s="1185" t="str">
        <f t="shared" si="24"/>
        <v/>
      </c>
      <c r="T284" s="1186"/>
      <c r="U284" s="1187"/>
      <c r="V284" s="1188" t="str">
        <f>IF(S284="","",ROUND(SUMIF(F276:H284,S284,I276:L284)/3,2))</f>
        <v/>
      </c>
      <c r="W284" s="1189"/>
      <c r="X284" s="1190"/>
      <c r="Y284" s="1173" t="str">
        <f>IF(S284="","",ROUND(SUMIF(F276:H284,S284,M276:P284)/3,2))</f>
        <v/>
      </c>
      <c r="Z284" s="1174"/>
      <c r="AA284" s="1175"/>
    </row>
    <row r="285" spans="2:27" ht="17.25" customHeight="1" x14ac:dyDescent="0.15">
      <c r="B285" s="246"/>
      <c r="C285" s="246"/>
      <c r="D285" s="246"/>
      <c r="F285" s="246"/>
      <c r="G285" s="246"/>
      <c r="H285" s="246"/>
      <c r="I285" s="246"/>
      <c r="J285" s="246"/>
      <c r="K285" s="246"/>
      <c r="L285" s="246"/>
      <c r="M285" s="246"/>
      <c r="N285" s="246"/>
      <c r="O285" s="246"/>
      <c r="P285" s="246"/>
    </row>
    <row r="286" spans="2:27" ht="30.75" customHeight="1" x14ac:dyDescent="0.15">
      <c r="B286" s="211" t="s">
        <v>160</v>
      </c>
      <c r="H286" s="211"/>
      <c r="AA286" s="212" t="str">
        <f>IF(G$23="","",G$23)</f>
        <v>秋田共同参画株式会社</v>
      </c>
    </row>
    <row r="287" spans="2:27" s="176" customFormat="1" ht="17.25" customHeight="1" x14ac:dyDescent="0.15">
      <c r="B287" s="1107" t="s">
        <v>150</v>
      </c>
      <c r="C287" s="1108"/>
      <c r="D287" s="1108"/>
      <c r="E287" s="1108"/>
      <c r="F287" s="1108"/>
      <c r="G287" s="1108"/>
      <c r="H287" s="1108"/>
      <c r="I287" s="1108"/>
      <c r="J287" s="1108"/>
      <c r="K287" s="1108"/>
      <c r="L287" s="1108"/>
      <c r="M287" s="1108"/>
      <c r="N287" s="1108"/>
      <c r="O287" s="1108"/>
      <c r="P287" s="1108"/>
      <c r="Q287" s="1108"/>
      <c r="R287" s="1108"/>
      <c r="S287" s="1108"/>
      <c r="T287" s="1108"/>
      <c r="U287" s="1108"/>
      <c r="V287" s="1108"/>
      <c r="W287" s="1108"/>
      <c r="X287" s="1108"/>
      <c r="Y287" s="1108"/>
      <c r="Z287" s="1108"/>
      <c r="AA287" s="1109"/>
    </row>
    <row r="288" spans="2:27" s="176" customFormat="1" ht="17.25" customHeight="1" x14ac:dyDescent="0.15">
      <c r="B288" s="1110" t="s">
        <v>132</v>
      </c>
      <c r="C288" s="1111"/>
      <c r="D288" s="1111"/>
      <c r="E288" s="1111"/>
      <c r="F288" s="1111"/>
      <c r="G288" s="1111"/>
      <c r="H288" s="1111"/>
      <c r="I288" s="1111"/>
      <c r="J288" s="1111"/>
      <c r="K288" s="1111"/>
      <c r="L288" s="1111"/>
      <c r="M288" s="1111"/>
      <c r="N288" s="1111"/>
      <c r="O288" s="1111"/>
      <c r="P288" s="1111"/>
      <c r="Q288" s="1111"/>
      <c r="R288" s="1111"/>
      <c r="S288" s="1111"/>
      <c r="T288" s="1111"/>
      <c r="U288" s="1111"/>
      <c r="V288" s="1111"/>
      <c r="W288" s="1111"/>
      <c r="X288" s="1111"/>
      <c r="Y288" s="1111"/>
      <c r="Z288" s="1111"/>
      <c r="AA288" s="1112"/>
    </row>
    <row r="289" spans="2:28" s="176" customFormat="1" ht="17.25" customHeight="1" x14ac:dyDescent="0.15">
      <c r="B289" s="1113" t="s">
        <v>133</v>
      </c>
      <c r="C289" s="1176"/>
      <c r="D289" s="1176"/>
      <c r="E289" s="1176"/>
      <c r="F289" s="1176"/>
      <c r="G289" s="1176"/>
      <c r="H289" s="1176"/>
      <c r="I289" s="1176"/>
      <c r="J289" s="1176"/>
      <c r="K289" s="1176"/>
      <c r="L289" s="1176"/>
      <c r="M289" s="1176"/>
      <c r="N289" s="1176"/>
      <c r="O289" s="1176"/>
      <c r="P289" s="1176"/>
      <c r="Q289" s="1176"/>
      <c r="R289" s="1176"/>
      <c r="S289" s="1176"/>
      <c r="T289" s="1176"/>
      <c r="U289" s="1176"/>
      <c r="V289" s="1176"/>
      <c r="W289" s="1176"/>
      <c r="X289" s="1176"/>
      <c r="Y289" s="1176"/>
      <c r="Z289" s="1176"/>
      <c r="AA289" s="1177"/>
    </row>
    <row r="290" spans="2:28" s="176" customFormat="1" ht="27" customHeight="1" x14ac:dyDescent="0.15">
      <c r="B290" s="1116" t="s">
        <v>145</v>
      </c>
      <c r="C290" s="1178"/>
      <c r="D290" s="1178"/>
      <c r="E290" s="1178"/>
      <c r="F290" s="1178"/>
      <c r="G290" s="1178"/>
      <c r="H290" s="1178"/>
      <c r="I290" s="1178"/>
      <c r="J290" s="1178"/>
      <c r="K290" s="1178"/>
      <c r="L290" s="1178"/>
      <c r="M290" s="1178"/>
      <c r="N290" s="1178"/>
      <c r="O290" s="1178"/>
      <c r="P290" s="1178"/>
      <c r="Q290" s="1178"/>
      <c r="R290" s="1178"/>
      <c r="S290" s="1178"/>
      <c r="T290" s="1178"/>
      <c r="U290" s="1178"/>
      <c r="V290" s="1178"/>
      <c r="W290" s="1178"/>
      <c r="X290" s="1178"/>
      <c r="Y290" s="1178"/>
      <c r="Z290" s="1178"/>
      <c r="AA290" s="1179"/>
    </row>
    <row r="291" spans="2:28" ht="17.25" customHeight="1" x14ac:dyDescent="0.15"/>
    <row r="292" spans="2:28" ht="17.25" customHeight="1" thickBot="1" x14ac:dyDescent="0.2">
      <c r="B292" s="232" t="s">
        <v>134</v>
      </c>
    </row>
    <row r="293" spans="2:28" s="172" customFormat="1" ht="47.25" customHeight="1" thickTop="1" x14ac:dyDescent="0.15">
      <c r="B293" s="1085" t="s">
        <v>5</v>
      </c>
      <c r="C293" s="1089"/>
      <c r="D293" s="1090"/>
      <c r="E293" s="233"/>
      <c r="F293" s="1085" t="s">
        <v>24</v>
      </c>
      <c r="G293" s="1086"/>
      <c r="H293" s="1087"/>
      <c r="I293" s="1085" t="s">
        <v>25</v>
      </c>
      <c r="J293" s="1089"/>
      <c r="K293" s="1090"/>
      <c r="L293" s="1088" t="s">
        <v>26</v>
      </c>
      <c r="M293" s="1089"/>
      <c r="N293" s="1089"/>
      <c r="O293" s="1105" t="s">
        <v>27</v>
      </c>
      <c r="P293" s="1149"/>
      <c r="Q293" s="1106"/>
      <c r="R293" s="1105" t="s">
        <v>237</v>
      </c>
      <c r="S293" s="1156"/>
      <c r="T293" s="1156"/>
      <c r="U293" s="1156"/>
      <c r="V293" s="1156"/>
      <c r="W293" s="1157"/>
      <c r="X293" s="1105" t="s">
        <v>35</v>
      </c>
      <c r="Y293" s="1106"/>
    </row>
    <row r="294" spans="2:28" s="172" customFormat="1" ht="17.25" customHeight="1" x14ac:dyDescent="0.15">
      <c r="B294" s="1158">
        <f>IF($I$27="","",$I$27)</f>
        <v>45748</v>
      </c>
      <c r="C294" s="1159"/>
      <c r="D294" s="1160"/>
      <c r="E294" s="254"/>
      <c r="F294" s="491">
        <v>1</v>
      </c>
      <c r="G294" s="492"/>
      <c r="H294" s="493"/>
      <c r="I294" s="491">
        <v>4</v>
      </c>
      <c r="J294" s="492"/>
      <c r="K294" s="493"/>
      <c r="L294" s="1164">
        <f>IF(B294="","",F294+I294)</f>
        <v>5</v>
      </c>
      <c r="M294" s="1165"/>
      <c r="N294" s="1166"/>
      <c r="O294" s="503">
        <f>IF(B294="","",IF(L294&lt;1,0,ROUND(F294/L294,3)))</f>
        <v>0.2</v>
      </c>
      <c r="P294" s="504"/>
      <c r="Q294" s="505"/>
      <c r="R294" s="1170" t="str">
        <f>IF(B294="","",IF(R26="",R25,R26))</f>
        <v>電気機械器具製造業</v>
      </c>
      <c r="S294" s="1171"/>
      <c r="T294" s="1171"/>
      <c r="U294" s="1171"/>
      <c r="V294" s="1171"/>
      <c r="W294" s="1172"/>
      <c r="X294" s="481" t="s">
        <v>269</v>
      </c>
      <c r="Y294" s="482"/>
    </row>
    <row r="295" spans="2:28" s="172" customFormat="1" ht="17.25" customHeight="1" thickBot="1" x14ac:dyDescent="0.2">
      <c r="B295" s="1161"/>
      <c r="C295" s="1162"/>
      <c r="D295" s="1163"/>
      <c r="E295" s="254"/>
      <c r="F295" s="494"/>
      <c r="G295" s="495"/>
      <c r="H295" s="496"/>
      <c r="I295" s="494"/>
      <c r="J295" s="495"/>
      <c r="K295" s="496"/>
      <c r="L295" s="1167"/>
      <c r="M295" s="1168"/>
      <c r="N295" s="1169"/>
      <c r="O295" s="506"/>
      <c r="P295" s="507"/>
      <c r="Q295" s="508"/>
      <c r="R295" s="930">
        <v>4.3</v>
      </c>
      <c r="S295" s="931"/>
      <c r="T295" s="931"/>
      <c r="U295" s="931"/>
      <c r="V295" s="931"/>
      <c r="W295" s="932"/>
      <c r="X295" s="483"/>
      <c r="Y295" s="484"/>
    </row>
    <row r="296" spans="2:28" ht="17.25" customHeight="1" thickTop="1" x14ac:dyDescent="0.15">
      <c r="S296" s="165" t="str">
        <f>IF(G23="","",IF(G23="","",IF(R295="","上段に産業分類（製造業は中分類）を、下段に産業平均値を記載↑","")))</f>
        <v/>
      </c>
      <c r="X296" s="172"/>
      <c r="Y296" s="165" t="str">
        <f>IF(G23="","",IF(X294="","リストから選択↑　",""))</f>
        <v/>
      </c>
      <c r="AA296" s="165"/>
    </row>
    <row r="297" spans="2:28" ht="17.25" customHeight="1" x14ac:dyDescent="0.15">
      <c r="B297" s="172" t="s">
        <v>201</v>
      </c>
      <c r="U297" s="165"/>
      <c r="V297" s="165"/>
      <c r="W297" s="165"/>
      <c r="X297" s="165"/>
      <c r="Y297" s="165"/>
      <c r="Z297" s="165"/>
      <c r="AA297" s="165"/>
      <c r="AB297" s="165"/>
    </row>
    <row r="298" spans="2:28" s="172" customFormat="1" ht="47.25" customHeight="1" x14ac:dyDescent="0.15">
      <c r="B298" s="1085" t="s">
        <v>136</v>
      </c>
      <c r="C298" s="1089"/>
      <c r="D298" s="1090"/>
      <c r="E298" s="233"/>
      <c r="F298" s="1085" t="s">
        <v>24</v>
      </c>
      <c r="G298" s="1086"/>
      <c r="H298" s="1087"/>
      <c r="I298" s="1085" t="s">
        <v>25</v>
      </c>
      <c r="J298" s="1089"/>
      <c r="K298" s="1090"/>
      <c r="L298" s="1088" t="s">
        <v>26</v>
      </c>
      <c r="M298" s="1089"/>
      <c r="N298" s="1089"/>
      <c r="O298" s="1085" t="s">
        <v>27</v>
      </c>
      <c r="P298" s="1089"/>
      <c r="Q298" s="1090"/>
    </row>
    <row r="299" spans="2:28" s="172" customFormat="1" ht="17.25" customHeight="1" x14ac:dyDescent="0.15">
      <c r="B299" s="1079" t="str">
        <f>IF(OR($X$294="非該当",$X$294="算出不能"),DATE(YEAR($I$27)-1,MONTH($I$27),DAY($I$27)),"")</f>
        <v/>
      </c>
      <c r="C299" s="1080"/>
      <c r="D299" s="1081"/>
      <c r="E299" s="254"/>
      <c r="F299" s="454"/>
      <c r="G299" s="455"/>
      <c r="H299" s="456"/>
      <c r="I299" s="454"/>
      <c r="J299" s="455"/>
      <c r="K299" s="456"/>
      <c r="L299" s="1150" t="str">
        <f>IF(B299="","",F299+I299)</f>
        <v/>
      </c>
      <c r="M299" s="1151"/>
      <c r="N299" s="1152"/>
      <c r="O299" s="460" t="str">
        <f>IF(B299="","",IF(L299&lt;1,0,ROUND(F299/L299,3)))</f>
        <v/>
      </c>
      <c r="P299" s="461"/>
      <c r="Q299" s="462"/>
      <c r="R299" s="1088" t="s">
        <v>187</v>
      </c>
      <c r="S299" s="1089"/>
      <c r="T299" s="1089"/>
      <c r="U299" s="1089"/>
      <c r="V299" s="1089"/>
      <c r="W299" s="1089"/>
      <c r="X299" s="1089"/>
      <c r="Y299" s="1090"/>
    </row>
    <row r="300" spans="2:28" s="172" customFormat="1" ht="17.25" customHeight="1" x14ac:dyDescent="0.15">
      <c r="B300" s="1079" t="str">
        <f>IF(OR($X$294="非該当",$X$294="算出不能"),DATE(YEAR($I$27)-2,MONTH($I$27),DAY($I$27)),"")</f>
        <v/>
      </c>
      <c r="C300" s="1080"/>
      <c r="D300" s="1081"/>
      <c r="E300" s="254"/>
      <c r="F300" s="454"/>
      <c r="G300" s="455"/>
      <c r="H300" s="456"/>
      <c r="I300" s="454"/>
      <c r="J300" s="455"/>
      <c r="K300" s="456"/>
      <c r="L300" s="1150" t="str">
        <f>IF(B300="","",F300+I300)</f>
        <v/>
      </c>
      <c r="M300" s="1151"/>
      <c r="N300" s="1152"/>
      <c r="O300" s="460" t="str">
        <f t="shared" ref="O300:O301" si="25">IF(B300="","",IF(L300&lt;1,0,ROUND(F300/L300,3)))</f>
        <v/>
      </c>
      <c r="P300" s="461"/>
      <c r="Q300" s="462"/>
      <c r="R300" s="1153" t="str">
        <f>IF(B300="","～",P16&amp;"～"&amp;Q18)</f>
        <v>～</v>
      </c>
      <c r="S300" s="1154"/>
      <c r="T300" s="1154"/>
      <c r="U300" s="1154"/>
      <c r="V300" s="1155"/>
      <c r="W300" s="460" t="str">
        <f>IF(B300="","",ROUND(AVERAGE(O294,O299,O300),3))</f>
        <v/>
      </c>
      <c r="X300" s="461"/>
      <c r="Y300" s="462"/>
    </row>
    <row r="301" spans="2:28" s="172" customFormat="1" ht="17.25" customHeight="1" x14ac:dyDescent="0.15">
      <c r="B301" s="1079" t="str">
        <f>IF(OR($X$294="非該当",$X$294="算出不能"),DATE(YEAR($I$27)-3,MONTH($I$27),DAY($I$27)),"")</f>
        <v/>
      </c>
      <c r="C301" s="1080"/>
      <c r="D301" s="1081"/>
      <c r="E301" s="254"/>
      <c r="F301" s="454"/>
      <c r="G301" s="455"/>
      <c r="H301" s="456"/>
      <c r="I301" s="454"/>
      <c r="J301" s="455"/>
      <c r="K301" s="456"/>
      <c r="L301" s="1150" t="str">
        <f>IF(B301="","",F301+I301)</f>
        <v/>
      </c>
      <c r="M301" s="1151"/>
      <c r="N301" s="1152"/>
      <c r="O301" s="460" t="str">
        <f t="shared" si="25"/>
        <v/>
      </c>
      <c r="P301" s="461"/>
      <c r="Q301" s="462"/>
      <c r="R301" s="1153" t="str">
        <f>IF(B301="","～",P17&amp;"～"&amp;Q19)</f>
        <v>～</v>
      </c>
      <c r="S301" s="1154"/>
      <c r="T301" s="1154"/>
      <c r="U301" s="1154"/>
      <c r="V301" s="1155"/>
      <c r="W301" s="460" t="str">
        <f>IF(B301="","",ROUND(AVERAGE(O299,O300,O301),3))</f>
        <v/>
      </c>
      <c r="X301" s="461"/>
      <c r="Y301" s="462"/>
    </row>
    <row r="302" spans="2:28" s="172" customFormat="1" ht="17.25" customHeight="1" x14ac:dyDescent="0.15">
      <c r="B302" s="1079" t="str">
        <f>IF(OR($X$294="非該当",$X$294="算出不能"),DATE(YEAR($I$27)-4,MONTH($I$27),DAY($I$27)),"")</f>
        <v/>
      </c>
      <c r="C302" s="1080"/>
      <c r="D302" s="1081"/>
      <c r="E302" s="254"/>
      <c r="F302" s="454"/>
      <c r="G302" s="455"/>
      <c r="H302" s="456"/>
      <c r="I302" s="454"/>
      <c r="J302" s="455"/>
      <c r="K302" s="456"/>
      <c r="L302" s="1150" t="str">
        <f>IF(B302="","",F302+I302)</f>
        <v/>
      </c>
      <c r="M302" s="1151"/>
      <c r="N302" s="1152"/>
      <c r="O302" s="460" t="str">
        <f>IF(B302="","",IF(L302&lt;1,0,ROUND(F302/L302,3)))</f>
        <v/>
      </c>
      <c r="P302" s="461"/>
      <c r="Q302" s="462"/>
      <c r="R302" s="1153" t="str">
        <f>IF(B302="","～",P18&amp;"～"&amp;Q20)</f>
        <v>～</v>
      </c>
      <c r="S302" s="1154"/>
      <c r="T302" s="1154"/>
      <c r="U302" s="1154"/>
      <c r="V302" s="1155"/>
      <c r="W302" s="460" t="str">
        <f>IF(B302="","",ROUND(AVERAGE(O300,O301,O302),3))</f>
        <v/>
      </c>
      <c r="X302" s="461"/>
      <c r="Y302" s="462"/>
    </row>
    <row r="303" spans="2:28" ht="17.25" customHeight="1" x14ac:dyDescent="0.15"/>
    <row r="304" spans="2:28" ht="17.25" customHeight="1" x14ac:dyDescent="0.15"/>
    <row r="305" spans="2:27" ht="17.25" customHeight="1" x14ac:dyDescent="0.15">
      <c r="B305" s="232" t="s">
        <v>135</v>
      </c>
      <c r="J305" s="259"/>
    </row>
    <row r="306" spans="2:27" ht="17.25" customHeight="1" thickBot="1" x14ac:dyDescent="0.2">
      <c r="G306" s="1137" t="s">
        <v>40</v>
      </c>
      <c r="H306" s="1138"/>
      <c r="I306" s="1138"/>
      <c r="J306" s="1138"/>
      <c r="K306" s="1138"/>
      <c r="L306" s="1138"/>
      <c r="M306" s="1138"/>
      <c r="N306" s="1139"/>
      <c r="O306" s="1137" t="s">
        <v>41</v>
      </c>
      <c r="P306" s="1138"/>
      <c r="Q306" s="1138"/>
      <c r="R306" s="1138"/>
      <c r="S306" s="1138"/>
      <c r="T306" s="1138"/>
      <c r="U306" s="1138"/>
      <c r="V306" s="1139"/>
    </row>
    <row r="307" spans="2:27" s="172" customFormat="1" ht="54" customHeight="1" thickTop="1" x14ac:dyDescent="0.15">
      <c r="B307" s="1088" t="s">
        <v>68</v>
      </c>
      <c r="C307" s="1089"/>
      <c r="D307" s="1089"/>
      <c r="E307" s="1089"/>
      <c r="F307" s="1090"/>
      <c r="G307" s="1085" t="s">
        <v>28</v>
      </c>
      <c r="H307" s="1087"/>
      <c r="I307" s="1085" t="s">
        <v>29</v>
      </c>
      <c r="J307" s="1087"/>
      <c r="K307" s="1088" t="s">
        <v>30</v>
      </c>
      <c r="L307" s="1090"/>
      <c r="M307" s="1140" t="s">
        <v>31</v>
      </c>
      <c r="N307" s="1141"/>
      <c r="O307" s="1085" t="s">
        <v>28</v>
      </c>
      <c r="P307" s="1087"/>
      <c r="Q307" s="1085" t="s">
        <v>29</v>
      </c>
      <c r="R307" s="1087"/>
      <c r="S307" s="1088" t="s">
        <v>30</v>
      </c>
      <c r="T307" s="1090"/>
      <c r="U307" s="1085" t="s">
        <v>32</v>
      </c>
      <c r="V307" s="1089"/>
      <c r="W307" s="1105" t="s">
        <v>33</v>
      </c>
      <c r="X307" s="1149"/>
      <c r="Y307" s="1106"/>
      <c r="Z307" s="1105" t="s">
        <v>175</v>
      </c>
      <c r="AA307" s="1106"/>
    </row>
    <row r="308" spans="2:27" ht="17.25" customHeight="1" x14ac:dyDescent="0.15">
      <c r="B308" s="1100">
        <f>IF($I$27="","",$I$27)</f>
        <v>45748</v>
      </c>
      <c r="C308" s="1101"/>
      <c r="D308" s="1101"/>
      <c r="E308" s="1101"/>
      <c r="F308" s="1102"/>
      <c r="G308" s="463">
        <v>0</v>
      </c>
      <c r="H308" s="464"/>
      <c r="I308" s="463">
        <v>2</v>
      </c>
      <c r="J308" s="464"/>
      <c r="K308" s="427">
        <f>IF(B308="","",IF(I308&lt;1,0,ROUND(G308/I308,2)))</f>
        <v>0</v>
      </c>
      <c r="L308" s="428"/>
      <c r="M308" s="429">
        <f>IF(B308="","",ROUND(SUM(K308:L310)/3,3))</f>
        <v>0</v>
      </c>
      <c r="N308" s="430"/>
      <c r="O308" s="463">
        <v>1</v>
      </c>
      <c r="P308" s="464"/>
      <c r="Q308" s="463">
        <v>8</v>
      </c>
      <c r="R308" s="464"/>
      <c r="S308" s="427">
        <f>IF(B308="","",IF(Q308&lt;1,0,ROUND(O308/Q308,2)))</f>
        <v>0.13</v>
      </c>
      <c r="T308" s="428"/>
      <c r="U308" s="429">
        <f>IF(B308="","",ROUND(SUM(S308:T310)/3,3))</f>
        <v>4.2999999999999997E-2</v>
      </c>
      <c r="V308" s="465"/>
      <c r="W308" s="1142">
        <f>IF(B308="","",IF(U308=0,0,ROUND(M308/U308,2)))</f>
        <v>0</v>
      </c>
      <c r="X308" s="1120"/>
      <c r="Y308" s="1143"/>
      <c r="Z308" s="421" t="s">
        <v>267</v>
      </c>
      <c r="AA308" s="422"/>
    </row>
    <row r="309" spans="2:27" ht="17.25" customHeight="1" x14ac:dyDescent="0.15">
      <c r="B309" s="1100">
        <f>IF($I$27="","",DATE(YEAR($I$27)-1,MONTH($I$27),DAY($I$27)))</f>
        <v>45383</v>
      </c>
      <c r="C309" s="1101"/>
      <c r="D309" s="1101"/>
      <c r="E309" s="1101"/>
      <c r="F309" s="1102"/>
      <c r="G309" s="463">
        <v>0</v>
      </c>
      <c r="H309" s="464"/>
      <c r="I309" s="463">
        <v>2</v>
      </c>
      <c r="J309" s="464"/>
      <c r="K309" s="427">
        <f t="shared" ref="K309:K310" si="26">IF(B309="","",IF(I309&lt;1,0,ROUND(G309/I309,2)))</f>
        <v>0</v>
      </c>
      <c r="L309" s="428"/>
      <c r="M309" s="431"/>
      <c r="N309" s="432"/>
      <c r="O309" s="463">
        <v>0</v>
      </c>
      <c r="P309" s="464"/>
      <c r="Q309" s="463">
        <v>7</v>
      </c>
      <c r="R309" s="464"/>
      <c r="S309" s="427">
        <f t="shared" ref="S309:S310" si="27">IF(B309="","",IF(Q309&lt;1,0,ROUND(O309/Q309,2)))</f>
        <v>0</v>
      </c>
      <c r="T309" s="428"/>
      <c r="U309" s="431"/>
      <c r="V309" s="466"/>
      <c r="W309" s="1144"/>
      <c r="X309" s="1123"/>
      <c r="Y309" s="1145"/>
      <c r="Z309" s="423"/>
      <c r="AA309" s="424"/>
    </row>
    <row r="310" spans="2:27" ht="17.25" customHeight="1" thickBot="1" x14ac:dyDescent="0.2">
      <c r="B310" s="1100">
        <f>IF($I$27="","",DATE(YEAR($I$27)-2,MONTH($I$27),DAY($I$27)))</f>
        <v>45017</v>
      </c>
      <c r="C310" s="1101"/>
      <c r="D310" s="1101"/>
      <c r="E310" s="1101"/>
      <c r="F310" s="1102"/>
      <c r="G310" s="463">
        <v>0</v>
      </c>
      <c r="H310" s="464"/>
      <c r="I310" s="463">
        <v>1</v>
      </c>
      <c r="J310" s="464"/>
      <c r="K310" s="427">
        <f t="shared" si="26"/>
        <v>0</v>
      </c>
      <c r="L310" s="428"/>
      <c r="M310" s="433"/>
      <c r="N310" s="434"/>
      <c r="O310" s="463">
        <v>0</v>
      </c>
      <c r="P310" s="464"/>
      <c r="Q310" s="463">
        <v>8</v>
      </c>
      <c r="R310" s="464"/>
      <c r="S310" s="427">
        <f t="shared" si="27"/>
        <v>0</v>
      </c>
      <c r="T310" s="428"/>
      <c r="U310" s="433"/>
      <c r="V310" s="467"/>
      <c r="W310" s="1146"/>
      <c r="X310" s="1147"/>
      <c r="Y310" s="1148"/>
      <c r="Z310" s="425"/>
      <c r="AA310" s="426"/>
    </row>
    <row r="311" spans="2:27" ht="17.25" customHeight="1" thickTop="1" x14ac:dyDescent="0.15">
      <c r="AA311" s="165" t="str">
        <f>IF(G23="","",IF(Z308="","リストから選択↑　",""))</f>
        <v/>
      </c>
    </row>
    <row r="312" spans="2:27" ht="17.25" customHeight="1" x14ac:dyDescent="0.15">
      <c r="B312" s="172" t="s">
        <v>202</v>
      </c>
    </row>
    <row r="313" spans="2:27" ht="17.25" customHeight="1" x14ac:dyDescent="0.15">
      <c r="G313" s="1137" t="s">
        <v>40</v>
      </c>
      <c r="H313" s="1138"/>
      <c r="I313" s="1138"/>
      <c r="J313" s="1138"/>
      <c r="K313" s="1138"/>
      <c r="L313" s="1138"/>
      <c r="M313" s="1138"/>
      <c r="N313" s="1139"/>
      <c r="O313" s="1137" t="s">
        <v>41</v>
      </c>
      <c r="P313" s="1138"/>
      <c r="Q313" s="1138"/>
      <c r="R313" s="1138"/>
      <c r="S313" s="1138"/>
      <c r="T313" s="1138"/>
      <c r="U313" s="1138"/>
      <c r="V313" s="1139"/>
    </row>
    <row r="314" spans="2:27" s="172" customFormat="1" ht="54" customHeight="1" x14ac:dyDescent="0.15">
      <c r="B314" s="1085" t="s">
        <v>218</v>
      </c>
      <c r="C314" s="1089"/>
      <c r="D314" s="1089"/>
      <c r="E314" s="1089"/>
      <c r="F314" s="1090"/>
      <c r="G314" s="1085" t="s">
        <v>28</v>
      </c>
      <c r="H314" s="1087"/>
      <c r="I314" s="1085" t="s">
        <v>29</v>
      </c>
      <c r="J314" s="1087"/>
      <c r="K314" s="1088" t="s">
        <v>30</v>
      </c>
      <c r="L314" s="1090"/>
      <c r="M314" s="1140" t="s">
        <v>31</v>
      </c>
      <c r="N314" s="1141"/>
      <c r="O314" s="1085" t="s">
        <v>28</v>
      </c>
      <c r="P314" s="1087"/>
      <c r="Q314" s="1085" t="s">
        <v>29</v>
      </c>
      <c r="R314" s="1087"/>
      <c r="S314" s="1088" t="s">
        <v>30</v>
      </c>
      <c r="T314" s="1090"/>
      <c r="U314" s="1085" t="s">
        <v>32</v>
      </c>
      <c r="V314" s="1089"/>
      <c r="W314" s="1085" t="s">
        <v>33</v>
      </c>
      <c r="X314" s="1089"/>
      <c r="Y314" s="1090"/>
      <c r="Z314" s="171"/>
      <c r="AA314" s="171"/>
    </row>
    <row r="315" spans="2:27" ht="17.25" customHeight="1" x14ac:dyDescent="0.15">
      <c r="B315" s="1069" t="s">
        <v>193</v>
      </c>
      <c r="C315" s="1071"/>
      <c r="D315" s="1128">
        <f>IF(OR($Z$308="非該当",$Z$308="算出不能"),DATE(YEAR($I$27)-1,MONTH($I$27),DAY($I$27)),"")</f>
        <v>45383</v>
      </c>
      <c r="E315" s="1129"/>
      <c r="F315" s="1130"/>
      <c r="G315" s="318">
        <f>IF($D$315="","",G309)</f>
        <v>0</v>
      </c>
      <c r="H315" s="319"/>
      <c r="I315" s="318">
        <f>IF($D$315="","",I309)</f>
        <v>2</v>
      </c>
      <c r="J315" s="319"/>
      <c r="K315" s="427">
        <f>IF(D315="","",IF(I315&lt;1,0,ROUND(G315/I315,2)))</f>
        <v>0</v>
      </c>
      <c r="L315" s="428"/>
      <c r="M315" s="429">
        <f>IF(D315="","",ROUND(SUM(K315:L317)/3,3))</f>
        <v>0</v>
      </c>
      <c r="N315" s="430"/>
      <c r="O315" s="318">
        <f>IF($D$315="","",O309)</f>
        <v>0</v>
      </c>
      <c r="P315" s="319"/>
      <c r="Q315" s="318">
        <f>IF($D$315="","",Q309)</f>
        <v>7</v>
      </c>
      <c r="R315" s="319"/>
      <c r="S315" s="427">
        <f>IF(D315="","",IF(Q315&lt;1,0,ROUND(O315/Q315,2)))</f>
        <v>0</v>
      </c>
      <c r="T315" s="428"/>
      <c r="U315" s="429">
        <f>IF(D315="","",ROUND(SUM(S315:T317)/3,3))</f>
        <v>5.7000000000000002E-2</v>
      </c>
      <c r="V315" s="430"/>
      <c r="W315" s="1119">
        <f>IF(D315="","",IF(U315=0,0,ROUND(M315/U315,2)))</f>
        <v>0</v>
      </c>
      <c r="X315" s="1120"/>
      <c r="Y315" s="1121"/>
    </row>
    <row r="316" spans="2:27" ht="17.25" customHeight="1" x14ac:dyDescent="0.15">
      <c r="B316" s="1131"/>
      <c r="C316" s="1132"/>
      <c r="D316" s="1128">
        <f>IF(OR($Z$308="非該当",$Z$308="算出不能"),DATE(YEAR($I$27)-2,MONTH($I$27),DAY($I$27)),"")</f>
        <v>45017</v>
      </c>
      <c r="E316" s="1129"/>
      <c r="F316" s="1130"/>
      <c r="G316" s="318">
        <f>IF($D$315="","",G310)</f>
        <v>0</v>
      </c>
      <c r="H316" s="319"/>
      <c r="I316" s="318">
        <f>IF($D$315="","",I310)</f>
        <v>1</v>
      </c>
      <c r="J316" s="319"/>
      <c r="K316" s="427">
        <f t="shared" ref="K316:K320" si="28">IF(D316="","",IF(I316&lt;1,0,ROUND(G316/I316,2)))</f>
        <v>0</v>
      </c>
      <c r="L316" s="428"/>
      <c r="M316" s="431"/>
      <c r="N316" s="432"/>
      <c r="O316" s="318">
        <f>IF($D$315="","",O310)</f>
        <v>0</v>
      </c>
      <c r="P316" s="319"/>
      <c r="Q316" s="318">
        <f>IF($D$315="","",Q310)</f>
        <v>8</v>
      </c>
      <c r="R316" s="319"/>
      <c r="S316" s="427">
        <f t="shared" ref="S316:S320" si="29">IF(D316="","",IF(Q316&lt;1,0,ROUND(O316/Q316,2)))</f>
        <v>0</v>
      </c>
      <c r="T316" s="428"/>
      <c r="U316" s="431"/>
      <c r="V316" s="432"/>
      <c r="W316" s="1122"/>
      <c r="X316" s="1123"/>
      <c r="Y316" s="1124"/>
    </row>
    <row r="317" spans="2:27" ht="17.25" customHeight="1" x14ac:dyDescent="0.15">
      <c r="B317" s="1133"/>
      <c r="C317" s="1134"/>
      <c r="D317" s="1128">
        <f>IF(OR($Z$308="非該当",$Z$308="算出不能"),DATE(YEAR($I$27)-3,MONTH($I$27),DAY($I$27)),"")</f>
        <v>44652</v>
      </c>
      <c r="E317" s="1129"/>
      <c r="F317" s="1130"/>
      <c r="G317" s="318">
        <v>0</v>
      </c>
      <c r="H317" s="319"/>
      <c r="I317" s="318">
        <v>1</v>
      </c>
      <c r="J317" s="319"/>
      <c r="K317" s="427">
        <f t="shared" si="28"/>
        <v>0</v>
      </c>
      <c r="L317" s="428"/>
      <c r="M317" s="433"/>
      <c r="N317" s="434"/>
      <c r="O317" s="318">
        <v>1</v>
      </c>
      <c r="P317" s="319"/>
      <c r="Q317" s="318">
        <v>6</v>
      </c>
      <c r="R317" s="319"/>
      <c r="S317" s="427">
        <f t="shared" si="29"/>
        <v>0.17</v>
      </c>
      <c r="T317" s="428"/>
      <c r="U317" s="433"/>
      <c r="V317" s="434"/>
      <c r="W317" s="1125"/>
      <c r="X317" s="1126"/>
      <c r="Y317" s="1127"/>
    </row>
    <row r="318" spans="2:27" ht="17.25" customHeight="1" x14ac:dyDescent="0.15">
      <c r="B318" s="1069" t="s">
        <v>46</v>
      </c>
      <c r="C318" s="1071"/>
      <c r="D318" s="1128">
        <f>IF(OR($Z$308="非該当",$Z$308="算出不能"),DATE(YEAR($I$27)-2,MONTH($I$27),DAY($I$27)),"")</f>
        <v>45017</v>
      </c>
      <c r="E318" s="1129"/>
      <c r="F318" s="1130"/>
      <c r="G318" s="1135">
        <f>IF($D$318="","",G316)</f>
        <v>0</v>
      </c>
      <c r="H318" s="1136"/>
      <c r="I318" s="1135">
        <f>IF($D$318="","",I316)</f>
        <v>1</v>
      </c>
      <c r="J318" s="1136"/>
      <c r="K318" s="427">
        <f t="shared" si="28"/>
        <v>0</v>
      </c>
      <c r="L318" s="428"/>
      <c r="M318" s="429">
        <f>IF(D318="","",ROUND(SUM(K318:L320)/3,3))</f>
        <v>0</v>
      </c>
      <c r="N318" s="430"/>
      <c r="O318" s="1135">
        <f>IF($D$318="","",O316)</f>
        <v>0</v>
      </c>
      <c r="P318" s="1136"/>
      <c r="Q318" s="1135">
        <f>IF($D$318="","",Q316)</f>
        <v>8</v>
      </c>
      <c r="R318" s="1136"/>
      <c r="S318" s="427">
        <f t="shared" si="29"/>
        <v>0</v>
      </c>
      <c r="T318" s="428"/>
      <c r="U318" s="429">
        <f>IF(D318="","",ROUND(SUM(S318:T320)/3,3))</f>
        <v>5.7000000000000002E-2</v>
      </c>
      <c r="V318" s="430"/>
      <c r="W318" s="1119">
        <f>IF(D318="","",IF(U318=0,0,ROUND(M318/U318,2)))</f>
        <v>0</v>
      </c>
      <c r="X318" s="1120"/>
      <c r="Y318" s="1121"/>
    </row>
    <row r="319" spans="2:27" ht="17.25" customHeight="1" x14ac:dyDescent="0.15">
      <c r="B319" s="1131"/>
      <c r="C319" s="1132"/>
      <c r="D319" s="1128">
        <f>IF(OR($Z$308="非該当",$Z$308="算出不能"),DATE(YEAR($I$27)-3,MONTH($I$27),DAY($I$27)),"")</f>
        <v>44652</v>
      </c>
      <c r="E319" s="1129"/>
      <c r="F319" s="1130"/>
      <c r="G319" s="1044">
        <f>IF($D$318="","",G317)</f>
        <v>0</v>
      </c>
      <c r="H319" s="1045"/>
      <c r="I319" s="1044">
        <f>IF($D$318="","",I317)</f>
        <v>1</v>
      </c>
      <c r="J319" s="1045"/>
      <c r="K319" s="427">
        <f t="shared" si="28"/>
        <v>0</v>
      </c>
      <c r="L319" s="428"/>
      <c r="M319" s="431"/>
      <c r="N319" s="432"/>
      <c r="O319" s="1044">
        <f>IF($D$318="","",O317)</f>
        <v>1</v>
      </c>
      <c r="P319" s="1045"/>
      <c r="Q319" s="1044">
        <f>IF($D$318="","",Q317)</f>
        <v>6</v>
      </c>
      <c r="R319" s="1045"/>
      <c r="S319" s="427">
        <f t="shared" si="29"/>
        <v>0.17</v>
      </c>
      <c r="T319" s="428"/>
      <c r="U319" s="431"/>
      <c r="V319" s="432"/>
      <c r="W319" s="1122"/>
      <c r="X319" s="1123"/>
      <c r="Y319" s="1124"/>
    </row>
    <row r="320" spans="2:27" ht="17.25" customHeight="1" x14ac:dyDescent="0.15">
      <c r="B320" s="1133"/>
      <c r="C320" s="1134"/>
      <c r="D320" s="1128">
        <f>IF(OR($Z$308="非該当",$Z$308="算出不能"),DATE(YEAR($I$27)-4,MONTH($I$27),DAY($I$27)),"")</f>
        <v>44287</v>
      </c>
      <c r="E320" s="1129"/>
      <c r="F320" s="1130"/>
      <c r="G320" s="318">
        <v>0</v>
      </c>
      <c r="H320" s="319"/>
      <c r="I320" s="318">
        <v>1</v>
      </c>
      <c r="J320" s="319"/>
      <c r="K320" s="427">
        <f t="shared" si="28"/>
        <v>0</v>
      </c>
      <c r="L320" s="428"/>
      <c r="M320" s="433"/>
      <c r="N320" s="434"/>
      <c r="O320" s="318">
        <v>0</v>
      </c>
      <c r="P320" s="319"/>
      <c r="Q320" s="318">
        <v>7</v>
      </c>
      <c r="R320" s="319"/>
      <c r="S320" s="427">
        <f t="shared" si="29"/>
        <v>0</v>
      </c>
      <c r="T320" s="428"/>
      <c r="U320" s="433"/>
      <c r="V320" s="434"/>
      <c r="W320" s="1125"/>
      <c r="X320" s="1126"/>
      <c r="Y320" s="1127"/>
    </row>
    <row r="321" spans="2:27" ht="17.25" customHeight="1" x14ac:dyDescent="0.15"/>
    <row r="322" spans="2:27" ht="30.75" customHeight="1" x14ac:dyDescent="0.15">
      <c r="B322" s="211" t="s">
        <v>203</v>
      </c>
      <c r="H322" s="211"/>
      <c r="AA322" s="212" t="str">
        <f>IF(G$23="","",G$23)</f>
        <v>秋田共同参画株式会社</v>
      </c>
    </row>
    <row r="323" spans="2:27" s="176" customFormat="1" ht="17.25" customHeight="1" x14ac:dyDescent="0.15">
      <c r="B323" s="1107" t="s">
        <v>151</v>
      </c>
      <c r="C323" s="1108"/>
      <c r="D323" s="1108"/>
      <c r="E323" s="1108"/>
      <c r="F323" s="1108"/>
      <c r="G323" s="1108"/>
      <c r="H323" s="1108"/>
      <c r="I323" s="1108"/>
      <c r="J323" s="1108"/>
      <c r="K323" s="1108"/>
      <c r="L323" s="1108"/>
      <c r="M323" s="1108"/>
      <c r="N323" s="1108"/>
      <c r="O323" s="1108"/>
      <c r="P323" s="1108"/>
      <c r="Q323" s="1108"/>
      <c r="R323" s="1108"/>
      <c r="S323" s="1108"/>
      <c r="T323" s="1108"/>
      <c r="U323" s="1108"/>
      <c r="V323" s="1108"/>
      <c r="W323" s="1108"/>
      <c r="X323" s="1108"/>
      <c r="Y323" s="1108"/>
      <c r="Z323" s="1108"/>
      <c r="AA323" s="1109"/>
    </row>
    <row r="324" spans="2:27" s="176" customFormat="1" ht="17.25" customHeight="1" x14ac:dyDescent="0.15">
      <c r="B324" s="1110" t="s">
        <v>137</v>
      </c>
      <c r="C324" s="1111"/>
      <c r="D324" s="1111"/>
      <c r="E324" s="1111"/>
      <c r="F324" s="1111"/>
      <c r="G324" s="1111"/>
      <c r="H324" s="1111"/>
      <c r="I324" s="1111"/>
      <c r="J324" s="1111"/>
      <c r="K324" s="1111"/>
      <c r="L324" s="1111"/>
      <c r="M324" s="1111"/>
      <c r="N324" s="1111"/>
      <c r="O324" s="1111"/>
      <c r="P324" s="1111"/>
      <c r="Q324" s="1111"/>
      <c r="R324" s="1111"/>
      <c r="S324" s="1111"/>
      <c r="T324" s="1111"/>
      <c r="U324" s="1111"/>
      <c r="V324" s="1111"/>
      <c r="W324" s="1111"/>
      <c r="X324" s="1111"/>
      <c r="Y324" s="1111"/>
      <c r="Z324" s="1111"/>
      <c r="AA324" s="1112"/>
    </row>
    <row r="325" spans="2:27" ht="17.25" customHeight="1" x14ac:dyDescent="0.15">
      <c r="B325" s="1113" t="s">
        <v>138</v>
      </c>
      <c r="C325" s="1114"/>
      <c r="D325" s="1114"/>
      <c r="E325" s="1114"/>
      <c r="F325" s="1114"/>
      <c r="G325" s="1114"/>
      <c r="H325" s="1114"/>
      <c r="I325" s="1114"/>
      <c r="J325" s="1114"/>
      <c r="K325" s="1114"/>
      <c r="L325" s="1114"/>
      <c r="M325" s="1114"/>
      <c r="N325" s="1114"/>
      <c r="O325" s="1114"/>
      <c r="P325" s="1114"/>
      <c r="Q325" s="1114"/>
      <c r="R325" s="1114"/>
      <c r="S325" s="1114"/>
      <c r="T325" s="1114"/>
      <c r="U325" s="1114"/>
      <c r="V325" s="1114"/>
      <c r="W325" s="1114"/>
      <c r="X325" s="1114"/>
      <c r="Y325" s="1114"/>
      <c r="Z325" s="1114"/>
      <c r="AA325" s="1115"/>
    </row>
    <row r="326" spans="2:27" ht="17.25" customHeight="1" x14ac:dyDescent="0.15">
      <c r="B326" s="1113" t="s">
        <v>139</v>
      </c>
      <c r="C326" s="1114"/>
      <c r="D326" s="1114"/>
      <c r="E326" s="1114"/>
      <c r="F326" s="1114"/>
      <c r="G326" s="1114"/>
      <c r="H326" s="1114"/>
      <c r="I326" s="1114"/>
      <c r="J326" s="1114"/>
      <c r="K326" s="1114"/>
      <c r="L326" s="1114"/>
      <c r="M326" s="1114"/>
      <c r="N326" s="1114"/>
      <c r="O326" s="1114"/>
      <c r="P326" s="1114"/>
      <c r="Q326" s="1114"/>
      <c r="R326" s="1114"/>
      <c r="S326" s="1114"/>
      <c r="T326" s="1114"/>
      <c r="U326" s="1114"/>
      <c r="V326" s="1114"/>
      <c r="W326" s="1114"/>
      <c r="X326" s="1114"/>
      <c r="Y326" s="1114"/>
      <c r="Z326" s="1114"/>
      <c r="AA326" s="1115"/>
    </row>
    <row r="327" spans="2:27" ht="17.25" customHeight="1" x14ac:dyDescent="0.15">
      <c r="B327" s="1113" t="s">
        <v>140</v>
      </c>
      <c r="C327" s="1114"/>
      <c r="D327" s="1114"/>
      <c r="E327" s="1114"/>
      <c r="F327" s="1114"/>
      <c r="G327" s="1114"/>
      <c r="H327" s="1114"/>
      <c r="I327" s="1114"/>
      <c r="J327" s="1114"/>
      <c r="K327" s="1114"/>
      <c r="L327" s="1114"/>
      <c r="M327" s="1114"/>
      <c r="N327" s="1114"/>
      <c r="O327" s="1114"/>
      <c r="P327" s="1114"/>
      <c r="Q327" s="1114"/>
      <c r="R327" s="1114"/>
      <c r="S327" s="1114"/>
      <c r="T327" s="1114"/>
      <c r="U327" s="1114"/>
      <c r="V327" s="1114"/>
      <c r="W327" s="1114"/>
      <c r="X327" s="1114"/>
      <c r="Y327" s="1114"/>
      <c r="Z327" s="1114"/>
      <c r="AA327" s="1115"/>
    </row>
    <row r="328" spans="2:27" ht="17.25" customHeight="1" x14ac:dyDescent="0.15">
      <c r="B328" s="1116" t="s">
        <v>141</v>
      </c>
      <c r="C328" s="1117"/>
      <c r="D328" s="1117"/>
      <c r="E328" s="1117"/>
      <c r="F328" s="1117"/>
      <c r="G328" s="1117"/>
      <c r="H328" s="1117"/>
      <c r="I328" s="1117"/>
      <c r="J328" s="1117"/>
      <c r="K328" s="1117"/>
      <c r="L328" s="1117"/>
      <c r="M328" s="1117"/>
      <c r="N328" s="1117"/>
      <c r="O328" s="1117"/>
      <c r="P328" s="1117"/>
      <c r="Q328" s="1117"/>
      <c r="R328" s="1117"/>
      <c r="S328" s="1117"/>
      <c r="T328" s="1117"/>
      <c r="U328" s="1117"/>
      <c r="V328" s="1117"/>
      <c r="W328" s="1117"/>
      <c r="X328" s="1117"/>
      <c r="Y328" s="1117"/>
      <c r="Z328" s="1117"/>
      <c r="AA328" s="1118"/>
    </row>
    <row r="329" spans="2:27" ht="17.25" customHeight="1" x14ac:dyDescent="0.15"/>
    <row r="330" spans="2:27" ht="17.25" customHeight="1" thickBot="1" x14ac:dyDescent="0.2">
      <c r="B330" s="232" t="s">
        <v>34</v>
      </c>
    </row>
    <row r="331" spans="2:27" s="172" customFormat="1" ht="47.25" customHeight="1" thickTop="1" x14ac:dyDescent="0.15">
      <c r="B331" s="1088" t="s">
        <v>68</v>
      </c>
      <c r="C331" s="1089"/>
      <c r="D331" s="1089"/>
      <c r="E331" s="1089"/>
      <c r="F331" s="1090"/>
      <c r="G331" s="1085" t="s">
        <v>219</v>
      </c>
      <c r="H331" s="1086"/>
      <c r="I331" s="1086"/>
      <c r="J331" s="1087"/>
      <c r="K331" s="1085" t="s">
        <v>142</v>
      </c>
      <c r="L331" s="1086"/>
      <c r="M331" s="1086"/>
      <c r="N331" s="1087"/>
      <c r="O331" s="1085" t="s">
        <v>143</v>
      </c>
      <c r="P331" s="1086"/>
      <c r="Q331" s="1086"/>
      <c r="R331" s="1087"/>
      <c r="S331" s="1085" t="s">
        <v>144</v>
      </c>
      <c r="T331" s="1086"/>
      <c r="U331" s="1086"/>
      <c r="V331" s="1087"/>
      <c r="W331" s="1088" t="s">
        <v>54</v>
      </c>
      <c r="X331" s="1089"/>
      <c r="Y331" s="1089"/>
      <c r="Z331" s="1105" t="s">
        <v>36</v>
      </c>
      <c r="AA331" s="1106"/>
    </row>
    <row r="332" spans="2:27" ht="17.25" customHeight="1" x14ac:dyDescent="0.15">
      <c r="B332" s="1100">
        <f>IF($I$27="","",$I$27)</f>
        <v>45748</v>
      </c>
      <c r="C332" s="1101"/>
      <c r="D332" s="1101"/>
      <c r="E332" s="1101"/>
      <c r="F332" s="1102"/>
      <c r="G332" s="913">
        <v>0</v>
      </c>
      <c r="H332" s="914"/>
      <c r="I332" s="914"/>
      <c r="J332" s="915"/>
      <c r="K332" s="913">
        <v>0</v>
      </c>
      <c r="L332" s="914"/>
      <c r="M332" s="914"/>
      <c r="N332" s="915"/>
      <c r="O332" s="913">
        <v>0</v>
      </c>
      <c r="P332" s="914"/>
      <c r="Q332" s="914"/>
      <c r="R332" s="915"/>
      <c r="S332" s="913">
        <v>0</v>
      </c>
      <c r="T332" s="914"/>
      <c r="U332" s="914"/>
      <c r="V332" s="915"/>
      <c r="W332" s="1082">
        <f>IF(B332="","",SUM(G332:V332))</f>
        <v>0</v>
      </c>
      <c r="X332" s="1083"/>
      <c r="Y332" s="1083"/>
      <c r="Z332" s="421" t="s">
        <v>267</v>
      </c>
      <c r="AA332" s="422"/>
    </row>
    <row r="333" spans="2:27" ht="17.25" customHeight="1" x14ac:dyDescent="0.15">
      <c r="B333" s="1100">
        <f>IF($I$27="","",DATE(YEAR($I$27)-1,MONTH($I$27),DAY($I$27)))</f>
        <v>45383</v>
      </c>
      <c r="C333" s="1101"/>
      <c r="D333" s="1101"/>
      <c r="E333" s="1101"/>
      <c r="F333" s="1102"/>
      <c r="G333" s="913">
        <v>0</v>
      </c>
      <c r="H333" s="914"/>
      <c r="I333" s="914"/>
      <c r="J333" s="915"/>
      <c r="K333" s="913">
        <v>0</v>
      </c>
      <c r="L333" s="914"/>
      <c r="M333" s="914"/>
      <c r="N333" s="915"/>
      <c r="O333" s="913">
        <v>0</v>
      </c>
      <c r="P333" s="914"/>
      <c r="Q333" s="914"/>
      <c r="R333" s="915"/>
      <c r="S333" s="913">
        <v>0</v>
      </c>
      <c r="T333" s="914"/>
      <c r="U333" s="914"/>
      <c r="V333" s="915"/>
      <c r="W333" s="1082">
        <f>IF(B333="","",SUM(G333:V333))</f>
        <v>0</v>
      </c>
      <c r="X333" s="1083"/>
      <c r="Y333" s="1083"/>
      <c r="Z333" s="423"/>
      <c r="AA333" s="424"/>
    </row>
    <row r="334" spans="2:27" ht="17.25" customHeight="1" thickBot="1" x14ac:dyDescent="0.2">
      <c r="B334" s="1100">
        <f>IF($I$27="","",DATE(YEAR($I$27)-2,MONTH($I$27),DAY($I$27)))</f>
        <v>45017</v>
      </c>
      <c r="C334" s="1101"/>
      <c r="D334" s="1101"/>
      <c r="E334" s="1101"/>
      <c r="F334" s="1102"/>
      <c r="G334" s="913">
        <v>0</v>
      </c>
      <c r="H334" s="914"/>
      <c r="I334" s="914"/>
      <c r="J334" s="915"/>
      <c r="K334" s="913">
        <v>0</v>
      </c>
      <c r="L334" s="914"/>
      <c r="M334" s="914"/>
      <c r="N334" s="915"/>
      <c r="O334" s="913">
        <v>0</v>
      </c>
      <c r="P334" s="914"/>
      <c r="Q334" s="914"/>
      <c r="R334" s="915"/>
      <c r="S334" s="913">
        <v>0</v>
      </c>
      <c r="T334" s="914"/>
      <c r="U334" s="914"/>
      <c r="V334" s="915"/>
      <c r="W334" s="1103">
        <f>IF(B334="","",SUM(G334:V334))</f>
        <v>0</v>
      </c>
      <c r="X334" s="1104"/>
      <c r="Y334" s="1104"/>
      <c r="Z334" s="423"/>
      <c r="AA334" s="424"/>
    </row>
    <row r="335" spans="2:27" ht="17.25" customHeight="1" thickTop="1" thickBot="1" x14ac:dyDescent="0.2">
      <c r="B335" s="1091" t="s">
        <v>42</v>
      </c>
      <c r="C335" s="1092"/>
      <c r="D335" s="1092"/>
      <c r="E335" s="1092"/>
      <c r="F335" s="1093"/>
      <c r="G335" s="1094">
        <f>IF($B$332="","",SUM(G332:J334))</f>
        <v>0</v>
      </c>
      <c r="H335" s="1095"/>
      <c r="I335" s="1095"/>
      <c r="J335" s="1096"/>
      <c r="K335" s="1094">
        <f>IF($B$332="","",SUM(K332:N334))</f>
        <v>0</v>
      </c>
      <c r="L335" s="1095"/>
      <c r="M335" s="1095"/>
      <c r="N335" s="1096"/>
      <c r="O335" s="1094">
        <f>IF($B$332="","",SUM(O332:R334))</f>
        <v>0</v>
      </c>
      <c r="P335" s="1095"/>
      <c r="Q335" s="1095"/>
      <c r="R335" s="1096"/>
      <c r="S335" s="1094">
        <f>IF($B$332="","",SUM(S332:V334))</f>
        <v>0</v>
      </c>
      <c r="T335" s="1095"/>
      <c r="U335" s="1095"/>
      <c r="V335" s="1097"/>
      <c r="W335" s="1098">
        <f>IF($B$332="","Ａ　　　　",SUM(W332:Y334))</f>
        <v>0</v>
      </c>
      <c r="X335" s="1099"/>
      <c r="Y335" s="1099"/>
      <c r="Z335" s="425"/>
      <c r="AA335" s="426"/>
    </row>
    <row r="336" spans="2:27" ht="17.25" customHeight="1" thickTop="1" x14ac:dyDescent="0.15">
      <c r="W336" s="165"/>
      <c r="AA336" s="165" t="str">
        <f>IF(G23="","",IF(Z332="","リストから選択↑　",""))</f>
        <v/>
      </c>
    </row>
    <row r="337" spans="2:27" ht="17.25" customHeight="1" x14ac:dyDescent="0.15">
      <c r="B337" s="172" t="s">
        <v>177</v>
      </c>
    </row>
    <row r="338" spans="2:27" s="172" customFormat="1" ht="47.25" customHeight="1" x14ac:dyDescent="0.15">
      <c r="B338" s="1085" t="s">
        <v>69</v>
      </c>
      <c r="C338" s="1086"/>
      <c r="D338" s="1086"/>
      <c r="E338" s="1086"/>
      <c r="F338" s="1087"/>
      <c r="G338" s="1085" t="s">
        <v>219</v>
      </c>
      <c r="H338" s="1086"/>
      <c r="I338" s="1086"/>
      <c r="J338" s="1087"/>
      <c r="K338" s="1085" t="s">
        <v>142</v>
      </c>
      <c r="L338" s="1086"/>
      <c r="M338" s="1086"/>
      <c r="N338" s="1087"/>
      <c r="O338" s="1085" t="s">
        <v>143</v>
      </c>
      <c r="P338" s="1086"/>
      <c r="Q338" s="1086"/>
      <c r="R338" s="1087"/>
      <c r="S338" s="1085" t="s">
        <v>144</v>
      </c>
      <c r="T338" s="1086"/>
      <c r="U338" s="1086"/>
      <c r="V338" s="1087"/>
      <c r="W338" s="1088" t="s">
        <v>54</v>
      </c>
      <c r="X338" s="1089"/>
      <c r="Y338" s="1090"/>
      <c r="Z338" s="171"/>
      <c r="AA338" s="171"/>
    </row>
    <row r="339" spans="2:27" ht="17.25" customHeight="1" x14ac:dyDescent="0.15">
      <c r="B339" s="1079">
        <f>IF($Z$332="非該当",DATE(YEAR($I$27)-3,MONTH($I$27),DAY($I$27)),"")</f>
        <v>44652</v>
      </c>
      <c r="C339" s="1080"/>
      <c r="D339" s="1080"/>
      <c r="E339" s="1080"/>
      <c r="F339" s="1081"/>
      <c r="G339" s="917">
        <v>0</v>
      </c>
      <c r="H339" s="918"/>
      <c r="I339" s="918"/>
      <c r="J339" s="919"/>
      <c r="K339" s="917">
        <v>0</v>
      </c>
      <c r="L339" s="918"/>
      <c r="M339" s="918"/>
      <c r="N339" s="919"/>
      <c r="O339" s="917">
        <v>0</v>
      </c>
      <c r="P339" s="918"/>
      <c r="Q339" s="918"/>
      <c r="R339" s="919"/>
      <c r="S339" s="917">
        <v>1</v>
      </c>
      <c r="T339" s="918"/>
      <c r="U339" s="918"/>
      <c r="V339" s="919"/>
      <c r="W339" s="1082">
        <f>IF(B339="","",SUM(G339:V339))</f>
        <v>1</v>
      </c>
      <c r="X339" s="1083"/>
      <c r="Y339" s="1084"/>
    </row>
    <row r="340" spans="2:27" ht="17.25" customHeight="1" x14ac:dyDescent="0.15">
      <c r="B340" s="1079">
        <f>IF($Z$332="非該当",DATE(YEAR($I$27)-4,MONTH($I$27),DAY($I$27)),"")</f>
        <v>44287</v>
      </c>
      <c r="C340" s="1080"/>
      <c r="D340" s="1080"/>
      <c r="E340" s="1080"/>
      <c r="F340" s="1081"/>
      <c r="G340" s="917">
        <v>0</v>
      </c>
      <c r="H340" s="918"/>
      <c r="I340" s="918"/>
      <c r="J340" s="919"/>
      <c r="K340" s="917">
        <v>0</v>
      </c>
      <c r="L340" s="918"/>
      <c r="M340" s="918"/>
      <c r="N340" s="919"/>
      <c r="O340" s="917">
        <v>0</v>
      </c>
      <c r="P340" s="918"/>
      <c r="Q340" s="918"/>
      <c r="R340" s="919"/>
      <c r="S340" s="917">
        <v>0</v>
      </c>
      <c r="T340" s="918"/>
      <c r="U340" s="918"/>
      <c r="V340" s="919"/>
      <c r="W340" s="1082">
        <f>IF(B340="","",SUM(G340:V340))</f>
        <v>0</v>
      </c>
      <c r="X340" s="1083"/>
      <c r="Y340" s="1084"/>
    </row>
    <row r="341" spans="2:27" ht="17.25" customHeight="1" x14ac:dyDescent="0.15"/>
    <row r="342" spans="2:27" ht="17.25" customHeight="1" x14ac:dyDescent="0.15">
      <c r="B342" s="171" t="s">
        <v>205</v>
      </c>
      <c r="Y342" s="260"/>
      <c r="AA342" s="212" t="str">
        <f>IF(G$23="","",G$23)</f>
        <v>秋田共同参画株式会社</v>
      </c>
    </row>
    <row r="343" spans="2:27" ht="17.25" customHeight="1" x14ac:dyDescent="0.15">
      <c r="B343" s="172" t="s">
        <v>232</v>
      </c>
    </row>
    <row r="344" spans="2:27" ht="27.75" customHeight="1" x14ac:dyDescent="0.15">
      <c r="C344" s="1078" t="s">
        <v>247</v>
      </c>
      <c r="D344" s="1078"/>
      <c r="E344" s="1078"/>
      <c r="F344" s="1078"/>
      <c r="G344" s="1078"/>
      <c r="H344" s="1078"/>
      <c r="I344" s="1078"/>
      <c r="J344" s="1078"/>
      <c r="K344" s="1078"/>
      <c r="L344" s="1078"/>
      <c r="M344" s="1078"/>
      <c r="N344" s="1078"/>
      <c r="O344" s="1078"/>
      <c r="P344" s="1078"/>
      <c r="Q344" s="1078"/>
      <c r="R344" s="1078"/>
      <c r="S344" s="1078"/>
      <c r="T344" s="1078"/>
      <c r="U344" s="1078"/>
      <c r="V344" s="1078"/>
      <c r="W344" s="1078"/>
      <c r="X344" s="1078"/>
      <c r="Y344" s="1078"/>
      <c r="Z344" s="1078"/>
    </row>
    <row r="345" spans="2:27" ht="17.25" customHeight="1" thickBot="1" x14ac:dyDescent="0.2">
      <c r="I345" s="1075" t="s">
        <v>40</v>
      </c>
      <c r="J345" s="1076"/>
      <c r="K345" s="1076"/>
      <c r="L345" s="1076"/>
      <c r="M345" s="1076"/>
      <c r="N345" s="1076"/>
      <c r="O345" s="1076"/>
      <c r="P345" s="1077"/>
      <c r="Q345" s="1075" t="s">
        <v>41</v>
      </c>
      <c r="R345" s="1076"/>
      <c r="S345" s="1076"/>
      <c r="T345" s="1076"/>
      <c r="U345" s="1076"/>
      <c r="V345" s="1076"/>
      <c r="W345" s="1076"/>
      <c r="X345" s="1077"/>
    </row>
    <row r="346" spans="2:27" s="172" customFormat="1" ht="40.5" customHeight="1" thickBot="1" x14ac:dyDescent="0.2">
      <c r="B346" s="1069" t="s">
        <v>0</v>
      </c>
      <c r="C346" s="1070"/>
      <c r="D346" s="1071"/>
      <c r="F346" s="1072" t="s">
        <v>230</v>
      </c>
      <c r="G346" s="1065"/>
      <c r="H346" s="1073"/>
      <c r="I346" s="1064" t="s">
        <v>221</v>
      </c>
      <c r="J346" s="1066"/>
      <c r="K346" s="1061" t="s">
        <v>180</v>
      </c>
      <c r="L346" s="1062"/>
      <c r="M346" s="1062"/>
      <c r="N346" s="1063"/>
      <c r="O346" s="1064" t="s">
        <v>181</v>
      </c>
      <c r="P346" s="1073"/>
      <c r="Q346" s="1064" t="s">
        <v>221</v>
      </c>
      <c r="R346" s="1074"/>
      <c r="S346" s="1061" t="s">
        <v>180</v>
      </c>
      <c r="T346" s="1062"/>
      <c r="U346" s="1062"/>
      <c r="V346" s="1063"/>
      <c r="W346" s="1064" t="s">
        <v>182</v>
      </c>
      <c r="X346" s="1065"/>
      <c r="Y346" s="1064" t="s">
        <v>169</v>
      </c>
      <c r="Z346" s="1066"/>
      <c r="AA346" s="1067"/>
    </row>
    <row r="347" spans="2:27" s="172" customFormat="1" ht="16.5" customHeight="1" x14ac:dyDescent="0.15">
      <c r="B347" s="345" t="s">
        <v>268</v>
      </c>
      <c r="C347" s="346"/>
      <c r="D347" s="347"/>
      <c r="E347" s="228" t="str">
        <f>IF(B347="","",B347&amp;F347)</f>
        <v>技術職42461</v>
      </c>
      <c r="F347" s="1054">
        <f>IF(AND($W$165="非該当",$B$347&lt;&gt;""),DATE(YEAR($I$27)-9,MONTH($I$27),DAY($I$27)),"")</f>
        <v>42461</v>
      </c>
      <c r="G347" s="1055"/>
      <c r="H347" s="1056"/>
      <c r="I347" s="1057">
        <f>IF($B$347="","",VLOOKUP($E347,$E$153:$T$164,5,FALSE))</f>
        <v>1</v>
      </c>
      <c r="J347" s="1058"/>
      <c r="K347" s="1059" t="str">
        <f>IF(B$347="","",P16)</f>
        <v>令和7</v>
      </c>
      <c r="L347" s="1060"/>
      <c r="M347" s="1057">
        <f>IF($B$347="","",VLOOKUP($E347,$E$153:$T$164,7,FALSE))</f>
        <v>0</v>
      </c>
      <c r="N347" s="1058"/>
      <c r="O347" s="302">
        <f>IF(B$347="","",IF(I350&lt;1,"－",ROUND(M350/I350,3)))</f>
        <v>0.33300000000000002</v>
      </c>
      <c r="P347" s="303"/>
      <c r="Q347" s="1057">
        <f>IF($B$347="","",VLOOKUP($E347,$E$153:$T$164,12,FALSE))</f>
        <v>2</v>
      </c>
      <c r="R347" s="1058"/>
      <c r="S347" s="1059" t="str">
        <f>IF(B$347="","",P16)</f>
        <v>令和7</v>
      </c>
      <c r="T347" s="1060"/>
      <c r="U347" s="1057">
        <f>IF($B$347="","",VLOOKUP($E347,$E$153:$T$164,14,FALSE))</f>
        <v>1</v>
      </c>
      <c r="V347" s="1058"/>
      <c r="W347" s="302">
        <f>IF(B$347="","",IF(Q350&lt;1,"－",ROUND(U350/Q350,3)))</f>
        <v>0.66700000000000004</v>
      </c>
      <c r="X347" s="303"/>
      <c r="Y347" s="1038" t="s">
        <v>170</v>
      </c>
      <c r="Z347" s="1039"/>
      <c r="AA347" s="1040"/>
    </row>
    <row r="348" spans="2:27" s="172" customFormat="1" ht="16.5" customHeight="1" x14ac:dyDescent="0.15">
      <c r="B348" s="348"/>
      <c r="C348" s="1068"/>
      <c r="D348" s="350"/>
      <c r="E348" s="228" t="str">
        <f>IF(B347="","",B347&amp;F348)</f>
        <v>技術職42095</v>
      </c>
      <c r="F348" s="1041">
        <f>IF(AND($W$165="非該当",$B$347&lt;&gt;""),DATE(YEAR($I$27)-10,MONTH($I$27),DAY($I$27)),"　　　　★")</f>
        <v>42095</v>
      </c>
      <c r="G348" s="1042"/>
      <c r="H348" s="1043"/>
      <c r="I348" s="1044">
        <f>IF($B$347="","",VLOOKUP($E348,$E$153:$T$164,5,FALSE))</f>
        <v>1</v>
      </c>
      <c r="J348" s="1045"/>
      <c r="K348" s="1046" t="str">
        <f>IF(B$347="","★の10事業年度後在職者数","事業年度在職者数")</f>
        <v>事業年度在職者数</v>
      </c>
      <c r="L348" s="1047"/>
      <c r="M348" s="1044">
        <f>IF($B$347="","",VLOOKUP($E348,$E$153:$T$164,7,FALSE))</f>
        <v>1</v>
      </c>
      <c r="N348" s="1045"/>
      <c r="O348" s="304"/>
      <c r="P348" s="305"/>
      <c r="Q348" s="1044">
        <f>IF($B$347="","",VLOOKUP($E348,$E$153:$T$164,12,FALSE))</f>
        <v>3</v>
      </c>
      <c r="R348" s="1045"/>
      <c r="S348" s="1046" t="str">
        <f>IF(B$347="","★の10事業年度後在職者数","事業年度在職者数")</f>
        <v>事業年度在職者数</v>
      </c>
      <c r="T348" s="1047"/>
      <c r="U348" s="1044">
        <f>IF($B$347="","",VLOOKUP($E348,$E$153:$T$164,14,FALSE))</f>
        <v>2</v>
      </c>
      <c r="V348" s="1045"/>
      <c r="W348" s="304"/>
      <c r="X348" s="305"/>
      <c r="Y348" s="1048">
        <f>IF(B$347="","",IF(OR(O347="－",W347="－",W347=0),"－",ROUND(O347/W347,2)))</f>
        <v>0.5</v>
      </c>
      <c r="Z348" s="1049"/>
      <c r="AA348" s="1050"/>
    </row>
    <row r="349" spans="2:27" s="172" customFormat="1" ht="16.5" customHeight="1" x14ac:dyDescent="0.15">
      <c r="B349" s="348"/>
      <c r="C349" s="1068"/>
      <c r="D349" s="350"/>
      <c r="E349" s="228" t="str">
        <f>IF(B347="","",B347&amp;F349)</f>
        <v>技術職41730</v>
      </c>
      <c r="F349" s="1051">
        <f>IF(AND($W$165="非該当",$B$347&lt;&gt;""),DATE(YEAR($I$27)-11,MONTH($I$27),DAY($I$27)),"")</f>
        <v>41730</v>
      </c>
      <c r="G349" s="1052"/>
      <c r="H349" s="1053"/>
      <c r="I349" s="1044">
        <f>IF($B$347="","",VLOOKUP($E349,$E$153:$T$164,5,FALSE))</f>
        <v>1</v>
      </c>
      <c r="J349" s="1045"/>
      <c r="K349" s="1046"/>
      <c r="L349" s="1047"/>
      <c r="M349" s="1044">
        <f>IF($B$347="","",VLOOKUP($E349,$E$153:$T$164,7,FALSE))</f>
        <v>0</v>
      </c>
      <c r="N349" s="1045"/>
      <c r="O349" s="304"/>
      <c r="P349" s="305"/>
      <c r="Q349" s="1044">
        <f>IF($B$347="","",VLOOKUP($E349,$E$153:$T$164,12,FALSE))</f>
        <v>4</v>
      </c>
      <c r="R349" s="1045"/>
      <c r="S349" s="1046"/>
      <c r="T349" s="1047"/>
      <c r="U349" s="1044">
        <f>IF($B$347="","",VLOOKUP($E349,$E$153:$T$164,14,FALSE))</f>
        <v>3</v>
      </c>
      <c r="V349" s="1045"/>
      <c r="W349" s="304"/>
      <c r="X349" s="305"/>
      <c r="Y349" s="1048"/>
      <c r="Z349" s="1049"/>
      <c r="AA349" s="1050"/>
    </row>
    <row r="350" spans="2:27" s="172" customFormat="1" ht="16.5" customHeight="1" thickBot="1" x14ac:dyDescent="0.2">
      <c r="B350" s="348"/>
      <c r="C350" s="1068"/>
      <c r="D350" s="350"/>
      <c r="E350" s="233"/>
      <c r="F350" s="1033" t="s">
        <v>15</v>
      </c>
      <c r="G350" s="1034"/>
      <c r="H350" s="1035"/>
      <c r="I350" s="1036">
        <f>IF($B$347="","",SUM(I347:J349))</f>
        <v>3</v>
      </c>
      <c r="J350" s="1037"/>
      <c r="K350" s="261"/>
      <c r="L350" s="262"/>
      <c r="M350" s="1036">
        <f>IF($B$347="","",SUM(M347:N349))</f>
        <v>1</v>
      </c>
      <c r="N350" s="1037"/>
      <c r="O350" s="306"/>
      <c r="P350" s="307"/>
      <c r="Q350" s="1036">
        <f>IF($B$347="","",SUM(Q347:R349))</f>
        <v>9</v>
      </c>
      <c r="R350" s="1037"/>
      <c r="S350" s="261"/>
      <c r="T350" s="262"/>
      <c r="U350" s="1036">
        <f>IF($B$347="","",SUM(U347:V349))</f>
        <v>6</v>
      </c>
      <c r="V350" s="1037"/>
      <c r="W350" s="306"/>
      <c r="X350" s="307"/>
      <c r="Y350" s="1021"/>
      <c r="Z350" s="1022"/>
      <c r="AA350" s="1023"/>
    </row>
    <row r="351" spans="2:27" s="172" customFormat="1" ht="16.5" customHeight="1" x14ac:dyDescent="0.15">
      <c r="B351" s="348"/>
      <c r="C351" s="1068"/>
      <c r="D351" s="350"/>
      <c r="E351" s="233"/>
      <c r="F351" s="1054">
        <f>IF(AND($W$165="非該当",$B$347&lt;&gt;""),DATE(YEAR($I$27)-10,MONTH($I$27),DAY($I$27)),"")</f>
        <v>42095</v>
      </c>
      <c r="G351" s="1055"/>
      <c r="H351" s="1056"/>
      <c r="I351" s="1057">
        <f>IF(I348="","",I348)</f>
        <v>1</v>
      </c>
      <c r="J351" s="1058"/>
      <c r="K351" s="1059" t="str">
        <f>IF(B$347="","",P17)</f>
        <v>令和6</v>
      </c>
      <c r="L351" s="1060"/>
      <c r="M351" s="300">
        <v>0</v>
      </c>
      <c r="N351" s="301"/>
      <c r="O351" s="302">
        <f>IF(B$347="","",IF(I354&lt;1,"－",ROUND(M354/I354,3)))</f>
        <v>0</v>
      </c>
      <c r="P351" s="303"/>
      <c r="Q351" s="1057">
        <f>IF(Q348="","",Q348)</f>
        <v>3</v>
      </c>
      <c r="R351" s="1058"/>
      <c r="S351" s="1059" t="str">
        <f>IF(B$347="","",P17)</f>
        <v>令和6</v>
      </c>
      <c r="T351" s="1060"/>
      <c r="U351" s="300">
        <v>1</v>
      </c>
      <c r="V351" s="301"/>
      <c r="W351" s="302">
        <f>IF(B$347="","",IF(Q354&lt;1,"－",ROUND(U354/Q354,3)))</f>
        <v>0.375</v>
      </c>
      <c r="X351" s="303"/>
      <c r="Y351" s="1038" t="s">
        <v>171</v>
      </c>
      <c r="Z351" s="1039"/>
      <c r="AA351" s="1040"/>
    </row>
    <row r="352" spans="2:27" s="172" customFormat="1" ht="16.5" customHeight="1" x14ac:dyDescent="0.15">
      <c r="B352" s="348"/>
      <c r="C352" s="1068"/>
      <c r="D352" s="350"/>
      <c r="E352" s="228" t="str">
        <f>IF(B347="","",B347&amp;F352&amp;"その2")</f>
        <v>技術職41730その2</v>
      </c>
      <c r="F352" s="1041">
        <f>IF(AND($W$165="非該当",$B$347&lt;&gt;""),DATE(YEAR($I$27)-11,MONTH($I$27),DAY($I$27)),"　　　　★")</f>
        <v>41730</v>
      </c>
      <c r="G352" s="1042"/>
      <c r="H352" s="1043"/>
      <c r="I352" s="1044">
        <f>IF(I349="","",I349)</f>
        <v>1</v>
      </c>
      <c r="J352" s="1045"/>
      <c r="K352" s="1046" t="str">
        <f>IF(B$347="","★の10事業年度後在職者数","事業年度在職者数")</f>
        <v>事業年度在職者数</v>
      </c>
      <c r="L352" s="1047"/>
      <c r="M352" s="318">
        <v>0</v>
      </c>
      <c r="N352" s="319"/>
      <c r="O352" s="304"/>
      <c r="P352" s="305"/>
      <c r="Q352" s="1044">
        <f>IF(Q349="","",Q349)</f>
        <v>4</v>
      </c>
      <c r="R352" s="1045"/>
      <c r="S352" s="1046" t="str">
        <f>IF(B$347="","★の10事業年度後在職者数","事業年度在職者数")</f>
        <v>事業年度在職者数</v>
      </c>
      <c r="T352" s="1047"/>
      <c r="U352" s="318">
        <v>1</v>
      </c>
      <c r="V352" s="319"/>
      <c r="W352" s="304"/>
      <c r="X352" s="305"/>
      <c r="Y352" s="1048">
        <f>IF(B$347="","",IF(OR(O351="－",W351="－",W351=0),"－",ROUND(O351/W351,2)))</f>
        <v>0</v>
      </c>
      <c r="Z352" s="1049"/>
      <c r="AA352" s="1050"/>
    </row>
    <row r="353" spans="2:28" s="172" customFormat="1" ht="16.5" customHeight="1" x14ac:dyDescent="0.15">
      <c r="B353" s="348"/>
      <c r="C353" s="1068"/>
      <c r="D353" s="350"/>
      <c r="E353" s="233"/>
      <c r="F353" s="1051">
        <f>IF(AND($W$165="非該当",$B$347&lt;&gt;""),DATE(YEAR($I$27)-12,MONTH($I$27),DAY($I$27)),"")</f>
        <v>41365</v>
      </c>
      <c r="G353" s="1052"/>
      <c r="H353" s="1053"/>
      <c r="I353" s="318">
        <v>0</v>
      </c>
      <c r="J353" s="319"/>
      <c r="K353" s="1046"/>
      <c r="L353" s="1047"/>
      <c r="M353" s="318">
        <v>0</v>
      </c>
      <c r="N353" s="319"/>
      <c r="O353" s="304"/>
      <c r="P353" s="305"/>
      <c r="Q353" s="318">
        <v>1</v>
      </c>
      <c r="R353" s="319"/>
      <c r="S353" s="1046"/>
      <c r="T353" s="1047"/>
      <c r="U353" s="318">
        <v>1</v>
      </c>
      <c r="V353" s="319"/>
      <c r="W353" s="304"/>
      <c r="X353" s="305"/>
      <c r="Y353" s="1048"/>
      <c r="Z353" s="1049"/>
      <c r="AA353" s="1050"/>
    </row>
    <row r="354" spans="2:28" s="172" customFormat="1" ht="16.5" customHeight="1" thickBot="1" x14ac:dyDescent="0.2">
      <c r="B354" s="348"/>
      <c r="C354" s="1068"/>
      <c r="D354" s="350"/>
      <c r="E354" s="233"/>
      <c r="F354" s="1033" t="s">
        <v>15</v>
      </c>
      <c r="G354" s="1034"/>
      <c r="H354" s="1035"/>
      <c r="I354" s="1036">
        <f>IF($B$347="","",SUM(I351:J353))</f>
        <v>2</v>
      </c>
      <c r="J354" s="1037"/>
      <c r="K354" s="261"/>
      <c r="L354" s="262"/>
      <c r="M354" s="1036">
        <f>IF($B$347="","",SUM(M351:N353))</f>
        <v>0</v>
      </c>
      <c r="N354" s="1037"/>
      <c r="O354" s="306"/>
      <c r="P354" s="307"/>
      <c r="Q354" s="1036">
        <f>IF($B$347="","",SUM(Q351:R353))</f>
        <v>8</v>
      </c>
      <c r="R354" s="1037"/>
      <c r="S354" s="263"/>
      <c r="T354" s="263"/>
      <c r="U354" s="1036">
        <f>IF($B$347="","",SUM(U351:V353))</f>
        <v>3</v>
      </c>
      <c r="V354" s="1037"/>
      <c r="W354" s="306"/>
      <c r="X354" s="307"/>
      <c r="Y354" s="1021"/>
      <c r="Z354" s="1022"/>
      <c r="AA354" s="1023"/>
    </row>
    <row r="355" spans="2:28" s="172" customFormat="1" ht="16.5" customHeight="1" x14ac:dyDescent="0.15">
      <c r="B355" s="348"/>
      <c r="C355" s="1068"/>
      <c r="D355" s="350"/>
      <c r="E355" s="233"/>
      <c r="F355" s="1054">
        <f>IF(AND($W$165="非該当",$B$347&lt;&gt;""),DATE(YEAR($I$27)-11,MONTH($I$27),DAY($I$27)),"")</f>
        <v>41730</v>
      </c>
      <c r="G355" s="1055"/>
      <c r="H355" s="1056"/>
      <c r="I355" s="1057">
        <f>IF(I352="","",I352)</f>
        <v>1</v>
      </c>
      <c r="J355" s="1058"/>
      <c r="K355" s="1059" t="str">
        <f>IF(B$347="","",P18)</f>
        <v>令和5</v>
      </c>
      <c r="L355" s="1060"/>
      <c r="M355" s="300">
        <v>0</v>
      </c>
      <c r="N355" s="301"/>
      <c r="O355" s="302">
        <f>IF(B$347="","",IF(I358&lt;1,"－",ROUND(M358/I358,3)))</f>
        <v>0.5</v>
      </c>
      <c r="P355" s="303"/>
      <c r="Q355" s="1057">
        <f>IF(Q352="","",Q352)</f>
        <v>4</v>
      </c>
      <c r="R355" s="1058"/>
      <c r="S355" s="1059" t="str">
        <f>IF(B$347="","",P18)</f>
        <v>令和5</v>
      </c>
      <c r="T355" s="1060"/>
      <c r="U355" s="300">
        <v>1</v>
      </c>
      <c r="V355" s="301"/>
      <c r="W355" s="302">
        <f>IF(B$347="","",IF(Q358&lt;1,"－",ROUND(U358/Q358,3)))</f>
        <v>0.4</v>
      </c>
      <c r="X355" s="303"/>
      <c r="Y355" s="1038" t="s">
        <v>172</v>
      </c>
      <c r="Z355" s="1039"/>
      <c r="AA355" s="1040"/>
    </row>
    <row r="356" spans="2:28" s="172" customFormat="1" ht="16.5" customHeight="1" x14ac:dyDescent="0.15">
      <c r="B356" s="348"/>
      <c r="C356" s="1068"/>
      <c r="D356" s="350"/>
      <c r="E356" s="228" t="str">
        <f>IF(B347="","",B347&amp;F356)</f>
        <v>技術職41365</v>
      </c>
      <c r="F356" s="1041">
        <f>IF(AND($W$165="非該当",$B$347&lt;&gt;""),DATE(YEAR($I$27)-12,MONTH($I$27),DAY($I$27)),"　　　　★")</f>
        <v>41365</v>
      </c>
      <c r="G356" s="1042"/>
      <c r="H356" s="1043"/>
      <c r="I356" s="1044">
        <f>IF(I353="","",I353)</f>
        <v>0</v>
      </c>
      <c r="J356" s="1045"/>
      <c r="K356" s="1046" t="str">
        <f>IF(B$347="","★の10事業年度後在職者数","事業年度在職者数")</f>
        <v>事業年度在職者数</v>
      </c>
      <c r="L356" s="1047"/>
      <c r="M356" s="318">
        <v>0</v>
      </c>
      <c r="N356" s="319"/>
      <c r="O356" s="304"/>
      <c r="P356" s="305"/>
      <c r="Q356" s="1044">
        <f>IF(Q353="","",Q353)</f>
        <v>1</v>
      </c>
      <c r="R356" s="1045"/>
      <c r="S356" s="1046" t="str">
        <f>IF(B$347="","★の10事業年度後在職者数","事業年度在職者数")</f>
        <v>事業年度在職者数</v>
      </c>
      <c r="T356" s="1047"/>
      <c r="U356" s="318">
        <v>1</v>
      </c>
      <c r="V356" s="319"/>
      <c r="W356" s="304"/>
      <c r="X356" s="305"/>
      <c r="Y356" s="1048">
        <f>IF(B$347="","",IF(OR(O355="－",W355="－",W355=0),"－",ROUND(O355/W355,2)))</f>
        <v>1.25</v>
      </c>
      <c r="Z356" s="1049"/>
      <c r="AA356" s="1050"/>
    </row>
    <row r="357" spans="2:28" s="172" customFormat="1" ht="16.5" customHeight="1" x14ac:dyDescent="0.15">
      <c r="B357" s="348"/>
      <c r="C357" s="1068"/>
      <c r="D357" s="350"/>
      <c r="E357" s="233"/>
      <c r="F357" s="1051">
        <f>IF(AND($W$165="非該当",$B$347&lt;&gt;""),DATE(YEAR($I$27)-13,MONTH($I$27),DAY($I$27)),"")</f>
        <v>41000</v>
      </c>
      <c r="G357" s="1052"/>
      <c r="H357" s="1053"/>
      <c r="I357" s="318">
        <v>1</v>
      </c>
      <c r="J357" s="319"/>
      <c r="K357" s="1046"/>
      <c r="L357" s="1047"/>
      <c r="M357" s="318">
        <v>1</v>
      </c>
      <c r="N357" s="319"/>
      <c r="O357" s="304"/>
      <c r="P357" s="305"/>
      <c r="Q357" s="318">
        <v>0</v>
      </c>
      <c r="R357" s="319"/>
      <c r="S357" s="1046"/>
      <c r="T357" s="1047"/>
      <c r="U357" s="318">
        <v>0</v>
      </c>
      <c r="V357" s="319"/>
      <c r="W357" s="304"/>
      <c r="X357" s="305"/>
      <c r="Y357" s="1048"/>
      <c r="Z357" s="1049"/>
      <c r="AA357" s="1050"/>
    </row>
    <row r="358" spans="2:28" s="172" customFormat="1" ht="16.5" customHeight="1" thickBot="1" x14ac:dyDescent="0.2">
      <c r="B358" s="348"/>
      <c r="C358" s="1068"/>
      <c r="D358" s="350"/>
      <c r="E358" s="233"/>
      <c r="F358" s="1033" t="s">
        <v>15</v>
      </c>
      <c r="G358" s="1034"/>
      <c r="H358" s="1035"/>
      <c r="I358" s="1036">
        <f>IF($B$347="","",SUM(I355:J357))</f>
        <v>2</v>
      </c>
      <c r="J358" s="1037"/>
      <c r="K358" s="261"/>
      <c r="L358" s="262"/>
      <c r="M358" s="1036">
        <f>IF($B$347="","",SUM(M355:N357))</f>
        <v>1</v>
      </c>
      <c r="N358" s="1037"/>
      <c r="O358" s="306"/>
      <c r="P358" s="307"/>
      <c r="Q358" s="1036">
        <f>IF($B$347="","",SUM(Q355:R357))</f>
        <v>5</v>
      </c>
      <c r="R358" s="1037"/>
      <c r="S358" s="263"/>
      <c r="T358" s="263"/>
      <c r="U358" s="1036">
        <f>IF($B$347="","",SUM(U355:V357))</f>
        <v>2</v>
      </c>
      <c r="V358" s="1037"/>
      <c r="W358" s="306"/>
      <c r="X358" s="307"/>
      <c r="Y358" s="1021"/>
      <c r="Z358" s="1022"/>
      <c r="AA358" s="1023"/>
    </row>
    <row r="359" spans="2:28" s="172" customFormat="1" ht="16.5" customHeight="1" x14ac:dyDescent="0.15">
      <c r="B359" s="348"/>
      <c r="C359" s="1068"/>
      <c r="D359" s="350"/>
      <c r="E359" s="233"/>
      <c r="F359" s="1054">
        <f>IF(AND($W$165="非該当",$B$347&lt;&gt;""),DATE(YEAR($I$27)-12,MONTH($I$27),DAY($I$27)),"")</f>
        <v>41365</v>
      </c>
      <c r="G359" s="1055"/>
      <c r="H359" s="1056"/>
      <c r="I359" s="1057">
        <f>IF(I356="","",I356)</f>
        <v>0</v>
      </c>
      <c r="J359" s="1058"/>
      <c r="K359" s="1059" t="str">
        <f>IF(B$347="","",P19)</f>
        <v>令和4</v>
      </c>
      <c r="L359" s="1060"/>
      <c r="M359" s="300">
        <v>0</v>
      </c>
      <c r="N359" s="301"/>
      <c r="O359" s="302">
        <f>IF(B$347="","",IF(I362&lt;1,"－",ROUND(M362/I362,3)))</f>
        <v>1</v>
      </c>
      <c r="P359" s="303"/>
      <c r="Q359" s="1057">
        <f>IF(Q356="","",Q356)</f>
        <v>1</v>
      </c>
      <c r="R359" s="1058"/>
      <c r="S359" s="1059" t="str">
        <f>IF(B$347="","",P19)</f>
        <v>令和4</v>
      </c>
      <c r="T359" s="1060"/>
      <c r="U359" s="300">
        <v>1</v>
      </c>
      <c r="V359" s="301"/>
      <c r="W359" s="302">
        <f>IF(B$347="","",IF(Q362&lt;1,"－",ROUND(U362/Q362,3)))</f>
        <v>0.5</v>
      </c>
      <c r="X359" s="303"/>
      <c r="Y359" s="1038" t="s">
        <v>173</v>
      </c>
      <c r="Z359" s="1039"/>
      <c r="AA359" s="1040"/>
      <c r="AB359" s="264"/>
    </row>
    <row r="360" spans="2:28" s="172" customFormat="1" ht="16.5" customHeight="1" x14ac:dyDescent="0.15">
      <c r="B360" s="348"/>
      <c r="C360" s="1068"/>
      <c r="D360" s="350"/>
      <c r="E360" s="228" t="str">
        <f>IF(B347="","",B347&amp;F360)</f>
        <v>技術職41000</v>
      </c>
      <c r="F360" s="1041">
        <f>IF(AND($W$165="非該当",$B$347&lt;&gt;""),DATE(YEAR($I$27)-13,MONTH($I$27),DAY($I$27)),"　　　　★")</f>
        <v>41000</v>
      </c>
      <c r="G360" s="1042"/>
      <c r="H360" s="1043"/>
      <c r="I360" s="1044">
        <f>IF(I357="","",I357)</f>
        <v>1</v>
      </c>
      <c r="J360" s="1045"/>
      <c r="K360" s="1046" t="str">
        <f>IF(B$347="","★の10事業年度後在職者数","事業年度在職者数")</f>
        <v>事業年度在職者数</v>
      </c>
      <c r="L360" s="1047"/>
      <c r="M360" s="318">
        <v>1</v>
      </c>
      <c r="N360" s="319"/>
      <c r="O360" s="304"/>
      <c r="P360" s="305"/>
      <c r="Q360" s="1044">
        <f>IF(Q357="","",Q357)</f>
        <v>0</v>
      </c>
      <c r="R360" s="1045"/>
      <c r="S360" s="1046" t="str">
        <f>IF(B$347="","★の10事業年度後在職者数","事業年度在職者数")</f>
        <v>事業年度在職者数</v>
      </c>
      <c r="T360" s="1047"/>
      <c r="U360" s="318">
        <v>0</v>
      </c>
      <c r="V360" s="319"/>
      <c r="W360" s="304"/>
      <c r="X360" s="305"/>
      <c r="Y360" s="1048">
        <f>IF(B$347="","",IF(OR(O359="－",W359="－",W359=0),"－",ROUND(O359/W359,2)))</f>
        <v>2</v>
      </c>
      <c r="Z360" s="1049"/>
      <c r="AA360" s="1050"/>
      <c r="AB360" s="264"/>
    </row>
    <row r="361" spans="2:28" s="172" customFormat="1" ht="16.5" customHeight="1" x14ac:dyDescent="0.15">
      <c r="B361" s="348"/>
      <c r="C361" s="1068"/>
      <c r="D361" s="350"/>
      <c r="E361" s="233"/>
      <c r="F361" s="1051">
        <f>IF(AND($W$165="非該当",$B$347&lt;&gt;""),DATE(YEAR($I$27)-14,MONTH($I$27),DAY($I$27)),"")</f>
        <v>40634</v>
      </c>
      <c r="G361" s="1052"/>
      <c r="H361" s="1053"/>
      <c r="I361" s="318">
        <v>0</v>
      </c>
      <c r="J361" s="319"/>
      <c r="K361" s="1046"/>
      <c r="L361" s="1047"/>
      <c r="M361" s="318">
        <v>0</v>
      </c>
      <c r="N361" s="319"/>
      <c r="O361" s="304"/>
      <c r="P361" s="305"/>
      <c r="Q361" s="318">
        <v>1</v>
      </c>
      <c r="R361" s="319"/>
      <c r="S361" s="1046"/>
      <c r="T361" s="1047"/>
      <c r="U361" s="318">
        <v>0</v>
      </c>
      <c r="V361" s="319"/>
      <c r="W361" s="304"/>
      <c r="X361" s="305"/>
      <c r="Y361" s="1048"/>
      <c r="Z361" s="1049"/>
      <c r="AA361" s="1050"/>
      <c r="AB361" s="264"/>
    </row>
    <row r="362" spans="2:28" s="172" customFormat="1" ht="16.5" customHeight="1" thickBot="1" x14ac:dyDescent="0.2">
      <c r="B362" s="348"/>
      <c r="C362" s="1068"/>
      <c r="D362" s="350"/>
      <c r="E362" s="233"/>
      <c r="F362" s="1033" t="s">
        <v>15</v>
      </c>
      <c r="G362" s="1034"/>
      <c r="H362" s="1035"/>
      <c r="I362" s="1036">
        <f>IF($B$347="","",SUM(I359:J361))</f>
        <v>1</v>
      </c>
      <c r="J362" s="1037"/>
      <c r="K362" s="261"/>
      <c r="L362" s="262"/>
      <c r="M362" s="1036">
        <f>IF($B$347="","",SUM(M359:N361))</f>
        <v>1</v>
      </c>
      <c r="N362" s="1037"/>
      <c r="O362" s="306"/>
      <c r="P362" s="307"/>
      <c r="Q362" s="1036">
        <f>IF($B$347="","",SUM(Q359:R361))</f>
        <v>2</v>
      </c>
      <c r="R362" s="1037"/>
      <c r="S362" s="263"/>
      <c r="T362" s="263"/>
      <c r="U362" s="1036">
        <f>IF($B$347="","",SUM(U359:V361))</f>
        <v>1</v>
      </c>
      <c r="V362" s="1037"/>
      <c r="W362" s="306"/>
      <c r="X362" s="307"/>
      <c r="Y362" s="1021"/>
      <c r="Z362" s="1022"/>
      <c r="AA362" s="1023"/>
      <c r="AB362" s="264"/>
    </row>
    <row r="363" spans="2:28" s="172" customFormat="1" ht="16.5" customHeight="1" x14ac:dyDescent="0.15">
      <c r="B363" s="348"/>
      <c r="C363" s="1068"/>
      <c r="D363" s="350"/>
      <c r="E363" s="233"/>
      <c r="F363" s="1054">
        <f>IF(AND($W$165="非該当",$B$347&lt;&gt;""),DATE(YEAR($I$27)-13,MONTH($I$27),DAY($I$27)),"")</f>
        <v>41000</v>
      </c>
      <c r="G363" s="1055"/>
      <c r="H363" s="1056"/>
      <c r="I363" s="1057">
        <f>IF(I360="","",I360)</f>
        <v>1</v>
      </c>
      <c r="J363" s="1058"/>
      <c r="K363" s="1059" t="str">
        <f>IF(B$347="","",P20)</f>
        <v>令和3</v>
      </c>
      <c r="L363" s="1060"/>
      <c r="M363" s="300">
        <v>1</v>
      </c>
      <c r="N363" s="301"/>
      <c r="O363" s="302">
        <f>IF(B$347="","",IF(I366&lt;1,"－",ROUND(M366/I366,3)))</f>
        <v>1</v>
      </c>
      <c r="P363" s="303"/>
      <c r="Q363" s="1057">
        <f>IF(Q360="","",Q360)</f>
        <v>0</v>
      </c>
      <c r="R363" s="1058"/>
      <c r="S363" s="1059" t="str">
        <f>IF(B$347="","",P20)</f>
        <v>令和3</v>
      </c>
      <c r="T363" s="1060"/>
      <c r="U363" s="300">
        <v>0</v>
      </c>
      <c r="V363" s="301"/>
      <c r="W363" s="302">
        <f>IF(B$347="","",IF(Q366&lt;1,"－",ROUND(U366/Q366,3)))</f>
        <v>0</v>
      </c>
      <c r="X363" s="303"/>
      <c r="Y363" s="1038" t="s">
        <v>174</v>
      </c>
      <c r="Z363" s="1039"/>
      <c r="AA363" s="1040"/>
    </row>
    <row r="364" spans="2:28" s="172" customFormat="1" ht="16.5" customHeight="1" x14ac:dyDescent="0.15">
      <c r="B364" s="348"/>
      <c r="C364" s="1068"/>
      <c r="D364" s="350"/>
      <c r="E364" s="228" t="str">
        <f>IF(B347="","",B347&amp;F364)</f>
        <v>技術職40634</v>
      </c>
      <c r="F364" s="1041">
        <f>IF(AND($W$165="非該当",$B$347&lt;&gt;""),DATE(YEAR($I$27)-14,MONTH($I$27),DAY($I$27)),"　　　　★")</f>
        <v>40634</v>
      </c>
      <c r="G364" s="1042"/>
      <c r="H364" s="1043"/>
      <c r="I364" s="1044">
        <f>IF(I361="","",I361)</f>
        <v>0</v>
      </c>
      <c r="J364" s="1045"/>
      <c r="K364" s="1046" t="str">
        <f>IF(B$347="","★の10事業年度後在職者数","事業年度在職者数")</f>
        <v>事業年度在職者数</v>
      </c>
      <c r="L364" s="1047"/>
      <c r="M364" s="318">
        <v>0</v>
      </c>
      <c r="N364" s="319"/>
      <c r="O364" s="304"/>
      <c r="P364" s="305"/>
      <c r="Q364" s="1044">
        <f>IF(Q361="","",Q361)</f>
        <v>1</v>
      </c>
      <c r="R364" s="1045"/>
      <c r="S364" s="1046" t="str">
        <f>IF(B$347="","★の10事業年度後在職者数","事業年度在職者数")</f>
        <v>事業年度在職者数</v>
      </c>
      <c r="T364" s="1047"/>
      <c r="U364" s="318">
        <v>0</v>
      </c>
      <c r="V364" s="319"/>
      <c r="W364" s="304"/>
      <c r="X364" s="305"/>
      <c r="Y364" s="1048" t="str">
        <f>IF(B$347="","",IF(OR(O363="－",W363="－",W363=0),"－",ROUND(O363/W363,2)))</f>
        <v>－</v>
      </c>
      <c r="Z364" s="1049"/>
      <c r="AA364" s="1050"/>
    </row>
    <row r="365" spans="2:28" s="172" customFormat="1" ht="16.5" customHeight="1" x14ac:dyDescent="0.15">
      <c r="B365" s="348"/>
      <c r="C365" s="1068"/>
      <c r="D365" s="350"/>
      <c r="E365" s="233"/>
      <c r="F365" s="1051">
        <f>IF(AND($W$165="非該当",$B$347&lt;&gt;""),DATE(YEAR($I$27)-15,MONTH($I$27),DAY($I$27)),"")</f>
        <v>40269</v>
      </c>
      <c r="G365" s="1052"/>
      <c r="H365" s="1053"/>
      <c r="I365" s="318">
        <v>0</v>
      </c>
      <c r="J365" s="319"/>
      <c r="K365" s="1046"/>
      <c r="L365" s="1047"/>
      <c r="M365" s="318">
        <v>0</v>
      </c>
      <c r="N365" s="319"/>
      <c r="O365" s="304"/>
      <c r="P365" s="305"/>
      <c r="Q365" s="318">
        <v>0</v>
      </c>
      <c r="R365" s="319"/>
      <c r="S365" s="1046"/>
      <c r="T365" s="1047"/>
      <c r="U365" s="318">
        <v>0</v>
      </c>
      <c r="V365" s="319"/>
      <c r="W365" s="304"/>
      <c r="X365" s="305"/>
      <c r="Y365" s="1048"/>
      <c r="Z365" s="1049"/>
      <c r="AA365" s="1050"/>
    </row>
    <row r="366" spans="2:28" s="172" customFormat="1" ht="16.5" customHeight="1" thickBot="1" x14ac:dyDescent="0.2">
      <c r="B366" s="348"/>
      <c r="C366" s="1068"/>
      <c r="D366" s="350"/>
      <c r="E366" s="233"/>
      <c r="F366" s="1033" t="s">
        <v>15</v>
      </c>
      <c r="G366" s="1034"/>
      <c r="H366" s="1035"/>
      <c r="I366" s="1036">
        <f>IF($B$347="","",SUM(I363:J365))</f>
        <v>1</v>
      </c>
      <c r="J366" s="1037"/>
      <c r="K366" s="261"/>
      <c r="L366" s="262"/>
      <c r="M366" s="1036">
        <f>IF($B$347="","",SUM(M363:N365))</f>
        <v>1</v>
      </c>
      <c r="N366" s="1037"/>
      <c r="O366" s="306"/>
      <c r="P366" s="307"/>
      <c r="Q366" s="1036">
        <f>IF($B$347="","",SUM(Q363:R365))</f>
        <v>1</v>
      </c>
      <c r="R366" s="1037"/>
      <c r="S366" s="263"/>
      <c r="T366" s="263"/>
      <c r="U366" s="1036">
        <f>IF($B$347="","",SUM(U363:V365))</f>
        <v>0</v>
      </c>
      <c r="V366" s="1037"/>
      <c r="W366" s="306"/>
      <c r="X366" s="307"/>
      <c r="Y366" s="1021"/>
      <c r="Z366" s="1022"/>
      <c r="AA366" s="1023"/>
    </row>
    <row r="367" spans="2:28" s="172" customFormat="1" ht="16.5" customHeight="1" x14ac:dyDescent="0.15">
      <c r="B367" s="348"/>
      <c r="C367" s="1068"/>
      <c r="D367" s="350"/>
      <c r="E367" s="228" t="str">
        <f>B347&amp;1</f>
        <v>技術職1</v>
      </c>
      <c r="F367" s="265" t="str">
        <f>IF(F357=""," 9～13年前採用者の３事業年度ごと継続雇用割合男女比の平均（ア～ウの平均）",S15&amp;"～"&amp;T19&amp;"採用者の３事業年度ごと継続雇用割合男女比の平均（ア～ウの平均）")</f>
        <v>平成28～24年採用者の３事業年度ごと継続雇用割合男女比の平均（ア～ウの平均）</v>
      </c>
      <c r="G367" s="266"/>
      <c r="H367" s="266"/>
      <c r="I367" s="266"/>
      <c r="J367" s="266"/>
      <c r="K367" s="266"/>
      <c r="L367" s="266"/>
      <c r="M367" s="266"/>
      <c r="N367" s="266"/>
      <c r="O367" s="266"/>
      <c r="P367" s="266"/>
      <c r="Q367" s="266"/>
      <c r="R367" s="266"/>
      <c r="S367" s="266"/>
      <c r="T367" s="266"/>
      <c r="U367" s="266"/>
      <c r="V367" s="266"/>
      <c r="W367" s="266"/>
      <c r="X367" s="267"/>
      <c r="Y367" s="1024">
        <f>IF(B347="","",IF(OR(Y348="－",Y352="－",Y356="－"),"算出不能",ROUND(AVERAGE(Y348,Y352,Y356),3)))</f>
        <v>0.58299999999999996</v>
      </c>
      <c r="Z367" s="1025"/>
      <c r="AA367" s="1026"/>
    </row>
    <row r="368" spans="2:28" s="172" customFormat="1" ht="16.5" customHeight="1" x14ac:dyDescent="0.15">
      <c r="B368" s="348"/>
      <c r="C368" s="1068"/>
      <c r="D368" s="350"/>
      <c r="E368" s="228" t="str">
        <f>B347&amp;2</f>
        <v>技術職2</v>
      </c>
      <c r="F368" s="268" t="str">
        <f>IF(F361="","10～14年前採用者の　　　　　　　　〃　　　　　　　　　　（イ～エの平均）",S16&amp;"～"&amp;T20&amp;"採用者の　　　　　　　　〃　　　　　　　　　　（イ～エの平均）")</f>
        <v>平成27～23年採用者の　　　　　　　　〃　　　　　　　　　　（イ～エの平均）</v>
      </c>
      <c r="G368" s="269"/>
      <c r="H368" s="269"/>
      <c r="I368" s="269"/>
      <c r="J368" s="269"/>
      <c r="K368" s="269"/>
      <c r="L368" s="269"/>
      <c r="M368" s="269"/>
      <c r="N368" s="269"/>
      <c r="O368" s="270"/>
      <c r="P368" s="270"/>
      <c r="Q368" s="270"/>
      <c r="R368" s="270"/>
      <c r="S368" s="269"/>
      <c r="T368" s="269"/>
      <c r="U368" s="269"/>
      <c r="V368" s="269"/>
      <c r="W368" s="269"/>
      <c r="X368" s="271"/>
      <c r="Y368" s="1027">
        <f>IF(B347="","",IF(OR(Y352="－",Y356="－",Y360="－"),"算出不能",ROUND(AVERAGE(Y352,Y356,Y360),3)))</f>
        <v>1.083</v>
      </c>
      <c r="Z368" s="1028"/>
      <c r="AA368" s="1029"/>
    </row>
    <row r="369" spans="2:28" ht="16.5" customHeight="1" thickBot="1" x14ac:dyDescent="0.2">
      <c r="B369" s="351"/>
      <c r="C369" s="352"/>
      <c r="D369" s="353"/>
      <c r="E369" s="228" t="str">
        <f>B347&amp;3</f>
        <v>技術職3</v>
      </c>
      <c r="F369" s="272" t="str">
        <f>IF(F365="","11～15年前採用者の　　　　　　　　〃　　　　　　　　　　（ウ～オの平均）",S17&amp;"～"&amp;T21&amp;"採用者の　　　　　　　　〃　　　　　　　　　　（ウ～オの平均）")</f>
        <v>平成26～22年採用者の　　　　　　　　〃　　　　　　　　　　（ウ～オの平均）</v>
      </c>
      <c r="G369" s="273"/>
      <c r="H369" s="273"/>
      <c r="I369" s="273"/>
      <c r="J369" s="273"/>
      <c r="K369" s="273"/>
      <c r="L369" s="273"/>
      <c r="M369" s="273"/>
      <c r="N369" s="273"/>
      <c r="O369" s="273"/>
      <c r="P369" s="273"/>
      <c r="Q369" s="273"/>
      <c r="R369" s="273"/>
      <c r="S369" s="273"/>
      <c r="T369" s="273"/>
      <c r="U369" s="274"/>
      <c r="V369" s="273"/>
      <c r="W369" s="274"/>
      <c r="X369" s="275"/>
      <c r="Y369" s="1030" t="str">
        <f>IF(B347="","",IF(OR(Y356="－",Y360="－",Y364="－"),"算出不能",ROUND(AVERAGE(Y356,Y360,Y364),3)))</f>
        <v>算出不能</v>
      </c>
      <c r="Z369" s="1031"/>
      <c r="AA369" s="1032"/>
    </row>
    <row r="370" spans="2:28" s="172" customFormat="1" ht="16.5" customHeight="1" x14ac:dyDescent="0.15">
      <c r="B370" s="345" t="s">
        <v>266</v>
      </c>
      <c r="C370" s="346"/>
      <c r="D370" s="347"/>
      <c r="E370" s="228" t="str">
        <f>IF(B370="","",B370&amp;F370)</f>
        <v>パート技術職42461</v>
      </c>
      <c r="F370" s="1054">
        <f>IF(AND($W$165="非該当",$B$370&lt;&gt;""),DATE(YEAR($I$27)-9,MONTH($I$27),DAY($I$27)),"")</f>
        <v>42461</v>
      </c>
      <c r="G370" s="1055"/>
      <c r="H370" s="1056"/>
      <c r="I370" s="1057">
        <f>IF($B$370="","",VLOOKUP($E370,$E$153:$T$164,5,FALSE))</f>
        <v>2</v>
      </c>
      <c r="J370" s="1058"/>
      <c r="K370" s="1059" t="str">
        <f>IF(B$370="","",P16)</f>
        <v>令和7</v>
      </c>
      <c r="L370" s="1060"/>
      <c r="M370" s="1057">
        <f>IF($B$370="","",VLOOKUP($E370,$E$153:$T$164,7,FALSE))</f>
        <v>0</v>
      </c>
      <c r="N370" s="1058"/>
      <c r="O370" s="302">
        <f>IF(B$370="","",IF(I373&lt;1,"－",ROUND(M373/I373,3)))</f>
        <v>0</v>
      </c>
      <c r="P370" s="303"/>
      <c r="Q370" s="1057">
        <f>IF($B$370="","",VLOOKUP($E370,$E$153:$T$164,12,FALSE))</f>
        <v>0</v>
      </c>
      <c r="R370" s="1058"/>
      <c r="S370" s="1059" t="str">
        <f>IF(B$370="","",P16)</f>
        <v>令和7</v>
      </c>
      <c r="T370" s="1060"/>
      <c r="U370" s="1057">
        <f>IF($B$370="","",VLOOKUP($E370,$E$153:$T$164,14,FALSE))</f>
        <v>0</v>
      </c>
      <c r="V370" s="1058"/>
      <c r="W370" s="302" t="str">
        <f>IF(B$370="","",IF(Q373&lt;1,"－",ROUND(U373/Q373,3)))</f>
        <v>－</v>
      </c>
      <c r="X370" s="303"/>
      <c r="Y370" s="1038" t="s">
        <v>170</v>
      </c>
      <c r="Z370" s="1039"/>
      <c r="AA370" s="1040"/>
    </row>
    <row r="371" spans="2:28" s="172" customFormat="1" ht="16.5" customHeight="1" x14ac:dyDescent="0.15">
      <c r="B371" s="348"/>
      <c r="C371" s="1068"/>
      <c r="D371" s="350"/>
      <c r="E371" s="228" t="str">
        <f>IF(B370="","",B370&amp;F371)</f>
        <v>パート技術職42095</v>
      </c>
      <c r="F371" s="1041">
        <f>IF(AND($W$165="非該当",$B$370&lt;&gt;""),DATE(YEAR($I$27)-10,MONTH($I$27),DAY($I$27)),"　　　　★")</f>
        <v>42095</v>
      </c>
      <c r="G371" s="1042"/>
      <c r="H371" s="1043"/>
      <c r="I371" s="1044">
        <f>IF($B$370="","",VLOOKUP($E371,$E$153:$T$164,5,FALSE))</f>
        <v>3</v>
      </c>
      <c r="J371" s="1045"/>
      <c r="K371" s="1046" t="str">
        <f>IF(B$370="","★の10事業年度後在職者数","事業年度在職者数")</f>
        <v>事業年度在職者数</v>
      </c>
      <c r="L371" s="1047"/>
      <c r="M371" s="1044">
        <f>IF($B$370="","",VLOOKUP($E371,$E$153:$T$164,7,FALSE))</f>
        <v>0</v>
      </c>
      <c r="N371" s="1045"/>
      <c r="O371" s="304"/>
      <c r="P371" s="305"/>
      <c r="Q371" s="1044">
        <f>IF($B$370="","",VLOOKUP($E371,$E$153:$T$164,12,FALSE))</f>
        <v>0</v>
      </c>
      <c r="R371" s="1045"/>
      <c r="S371" s="1046" t="str">
        <f>IF(B$370="","★の10事業年度後在職者数","事業年度在職者数")</f>
        <v>事業年度在職者数</v>
      </c>
      <c r="T371" s="1047"/>
      <c r="U371" s="1044">
        <f>IF($B$370="","",VLOOKUP($E371,$E$153:$T$164,14,FALSE))</f>
        <v>0</v>
      </c>
      <c r="V371" s="1045"/>
      <c r="W371" s="304"/>
      <c r="X371" s="305"/>
      <c r="Y371" s="1048" t="str">
        <f>IF(B$370="","",IF(OR(O370="－",W370="－",W370=0),"－",ROUND(O370/W370,2)))</f>
        <v>－</v>
      </c>
      <c r="Z371" s="1049"/>
      <c r="AA371" s="1050"/>
    </row>
    <row r="372" spans="2:28" s="172" customFormat="1" ht="16.5" customHeight="1" x14ac:dyDescent="0.15">
      <c r="B372" s="348"/>
      <c r="C372" s="1068"/>
      <c r="D372" s="350"/>
      <c r="E372" s="228" t="str">
        <f>IF(B370="","",B370&amp;F372)</f>
        <v>パート技術職41730</v>
      </c>
      <c r="F372" s="1051">
        <f>IF(AND($W$165="非該当",$B$370&lt;&gt;""),DATE(YEAR($I$27)-11,MONTH($I$27),DAY($I$27)),"")</f>
        <v>41730</v>
      </c>
      <c r="G372" s="1052"/>
      <c r="H372" s="1053"/>
      <c r="I372" s="1044">
        <f>IF($B$370="","",VLOOKUP($E372,$E$153:$T$164,5,FALSE))</f>
        <v>2</v>
      </c>
      <c r="J372" s="1045"/>
      <c r="K372" s="1046"/>
      <c r="L372" s="1047"/>
      <c r="M372" s="1044">
        <f>IF($B$370="","",VLOOKUP($E372,$E$153:$T$164,7,FALSE))</f>
        <v>0</v>
      </c>
      <c r="N372" s="1045"/>
      <c r="O372" s="304"/>
      <c r="P372" s="305"/>
      <c r="Q372" s="1044">
        <f>IF($B$370="","",VLOOKUP($E372,$E$153:$T$164,12,FALSE))</f>
        <v>0</v>
      </c>
      <c r="R372" s="1045"/>
      <c r="S372" s="1046"/>
      <c r="T372" s="1047"/>
      <c r="U372" s="1044">
        <f>IF($B$370="","",VLOOKUP($E372,$E$153:$T$164,14,FALSE))</f>
        <v>0</v>
      </c>
      <c r="V372" s="1045"/>
      <c r="W372" s="304"/>
      <c r="X372" s="305"/>
      <c r="Y372" s="1048"/>
      <c r="Z372" s="1049"/>
      <c r="AA372" s="1050"/>
    </row>
    <row r="373" spans="2:28" s="172" customFormat="1" ht="16.5" customHeight="1" thickBot="1" x14ac:dyDescent="0.2">
      <c r="B373" s="348"/>
      <c r="C373" s="1068"/>
      <c r="D373" s="350"/>
      <c r="E373" s="233"/>
      <c r="F373" s="1033" t="s">
        <v>15</v>
      </c>
      <c r="G373" s="1034"/>
      <c r="H373" s="1035"/>
      <c r="I373" s="1036">
        <f>IF($B$370="","",SUM(I370:J372))</f>
        <v>7</v>
      </c>
      <c r="J373" s="1037"/>
      <c r="K373" s="261"/>
      <c r="L373" s="262"/>
      <c r="M373" s="1036">
        <f>IF($B$370="","",SUM(M370:N372))</f>
        <v>0</v>
      </c>
      <c r="N373" s="1037"/>
      <c r="O373" s="306"/>
      <c r="P373" s="307"/>
      <c r="Q373" s="1036">
        <f>IF($B$370="","",SUM(Q370:R372))</f>
        <v>0</v>
      </c>
      <c r="R373" s="1037"/>
      <c r="S373" s="261"/>
      <c r="T373" s="262"/>
      <c r="U373" s="1036">
        <f>IF($B$370="","",SUM(U370:V372))</f>
        <v>0</v>
      </c>
      <c r="V373" s="1037"/>
      <c r="W373" s="306"/>
      <c r="X373" s="307"/>
      <c r="Y373" s="1021"/>
      <c r="Z373" s="1022"/>
      <c r="AA373" s="1023"/>
    </row>
    <row r="374" spans="2:28" s="172" customFormat="1" ht="16.5" customHeight="1" x14ac:dyDescent="0.15">
      <c r="B374" s="348"/>
      <c r="C374" s="1068"/>
      <c r="D374" s="350"/>
      <c r="E374" s="233"/>
      <c r="F374" s="1054">
        <f>IF(AND($W$165="非該当",$B$370&lt;&gt;""),DATE(YEAR($I$27)-10,MONTH($I$27),DAY($I$27)),"")</f>
        <v>42095</v>
      </c>
      <c r="G374" s="1055"/>
      <c r="H374" s="1056"/>
      <c r="I374" s="1057">
        <f>IF(I371="","",I371)</f>
        <v>3</v>
      </c>
      <c r="J374" s="1058"/>
      <c r="K374" s="1059" t="str">
        <f>IF(B$370="","",P17)</f>
        <v>令和6</v>
      </c>
      <c r="L374" s="1060"/>
      <c r="M374" s="300">
        <v>0</v>
      </c>
      <c r="N374" s="301"/>
      <c r="O374" s="302">
        <f>IF(B$370="","",IF(I377&lt;1,"－",ROUND(M377/I377,3)))</f>
        <v>0</v>
      </c>
      <c r="P374" s="303"/>
      <c r="Q374" s="1057">
        <f>IF(Q371="","",Q371)</f>
        <v>0</v>
      </c>
      <c r="R374" s="1058"/>
      <c r="S374" s="1059" t="str">
        <f>IF(B$370="","",P17)</f>
        <v>令和6</v>
      </c>
      <c r="T374" s="1060"/>
      <c r="U374" s="300">
        <v>0</v>
      </c>
      <c r="V374" s="301"/>
      <c r="W374" s="302">
        <f>IF(B$370="","",IF(Q377&lt;1,"－",ROUND(U377/Q377,3)))</f>
        <v>0</v>
      </c>
      <c r="X374" s="303"/>
      <c r="Y374" s="1038" t="s">
        <v>171</v>
      </c>
      <c r="Z374" s="1039"/>
      <c r="AA374" s="1040"/>
    </row>
    <row r="375" spans="2:28" s="172" customFormat="1" ht="16.5" customHeight="1" x14ac:dyDescent="0.15">
      <c r="B375" s="348"/>
      <c r="C375" s="1068"/>
      <c r="D375" s="350"/>
      <c r="E375" s="228" t="str">
        <f>IF(B370="","",B370&amp;F375&amp;"その2")</f>
        <v>パート技術職41730その2</v>
      </c>
      <c r="F375" s="1041">
        <f>IF(AND($W$165="非該当",$B$370&lt;&gt;""),DATE(YEAR($I$27)-11,MONTH($I$27),DAY($I$27)),"　　　　★")</f>
        <v>41730</v>
      </c>
      <c r="G375" s="1042"/>
      <c r="H375" s="1043"/>
      <c r="I375" s="1044">
        <f>IF(I372="","",I372)</f>
        <v>2</v>
      </c>
      <c r="J375" s="1045"/>
      <c r="K375" s="1046" t="str">
        <f>IF(B$370="","★の10事業年度後在職者数","事業年度在職者数")</f>
        <v>事業年度在職者数</v>
      </c>
      <c r="L375" s="1047"/>
      <c r="M375" s="318">
        <v>0</v>
      </c>
      <c r="N375" s="319"/>
      <c r="O375" s="304"/>
      <c r="P375" s="305"/>
      <c r="Q375" s="1044">
        <f>IF(Q372="","",Q372)</f>
        <v>0</v>
      </c>
      <c r="R375" s="1045"/>
      <c r="S375" s="1046" t="str">
        <f>IF(B$370="","★の10事業年度後在職者数","事業年度在職者数")</f>
        <v>事業年度在職者数</v>
      </c>
      <c r="T375" s="1047"/>
      <c r="U375" s="318">
        <v>0</v>
      </c>
      <c r="V375" s="319"/>
      <c r="W375" s="304"/>
      <c r="X375" s="305"/>
      <c r="Y375" s="1048" t="str">
        <f>IF(B$370="","",IF(OR(O374="－",W374="－",W374=0),"－",ROUND(O374/W374,2)))</f>
        <v>－</v>
      </c>
      <c r="Z375" s="1049"/>
      <c r="AA375" s="1050"/>
    </row>
    <row r="376" spans="2:28" s="172" customFormat="1" ht="16.5" customHeight="1" x14ac:dyDescent="0.15">
      <c r="B376" s="348"/>
      <c r="C376" s="1068"/>
      <c r="D376" s="350"/>
      <c r="E376" s="233"/>
      <c r="F376" s="1051">
        <f>IF(AND($W$165="非該当",$B$370&lt;&gt;""),DATE(YEAR($I$27)-12,MONTH($I$27),DAY($I$27)),"")</f>
        <v>41365</v>
      </c>
      <c r="G376" s="1052"/>
      <c r="H376" s="1053"/>
      <c r="I376" s="318">
        <v>0</v>
      </c>
      <c r="J376" s="319"/>
      <c r="K376" s="1046"/>
      <c r="L376" s="1047"/>
      <c r="M376" s="318">
        <v>0</v>
      </c>
      <c r="N376" s="319"/>
      <c r="O376" s="304"/>
      <c r="P376" s="305"/>
      <c r="Q376" s="318">
        <v>1</v>
      </c>
      <c r="R376" s="319"/>
      <c r="S376" s="1046"/>
      <c r="T376" s="1047"/>
      <c r="U376" s="318">
        <v>0</v>
      </c>
      <c r="V376" s="319"/>
      <c r="W376" s="304"/>
      <c r="X376" s="305"/>
      <c r="Y376" s="1048"/>
      <c r="Z376" s="1049"/>
      <c r="AA376" s="1050"/>
    </row>
    <row r="377" spans="2:28" s="172" customFormat="1" ht="16.5" customHeight="1" thickBot="1" x14ac:dyDescent="0.2">
      <c r="B377" s="348"/>
      <c r="C377" s="1068"/>
      <c r="D377" s="350"/>
      <c r="E377" s="233"/>
      <c r="F377" s="1033" t="s">
        <v>15</v>
      </c>
      <c r="G377" s="1034"/>
      <c r="H377" s="1035"/>
      <c r="I377" s="1036">
        <f>IF($B$370="","",SUM(I374:J376))</f>
        <v>5</v>
      </c>
      <c r="J377" s="1037"/>
      <c r="K377" s="261"/>
      <c r="L377" s="262"/>
      <c r="M377" s="1036">
        <f>IF($B$370="","",SUM(M374:N376))</f>
        <v>0</v>
      </c>
      <c r="N377" s="1037"/>
      <c r="O377" s="306"/>
      <c r="P377" s="307"/>
      <c r="Q377" s="1036">
        <f>IF($B$370="","",SUM(Q374:R376))</f>
        <v>1</v>
      </c>
      <c r="R377" s="1037"/>
      <c r="S377" s="263"/>
      <c r="T377" s="263"/>
      <c r="U377" s="1036">
        <f>IF($B$370="","",SUM(U374:V376))</f>
        <v>0</v>
      </c>
      <c r="V377" s="1037"/>
      <c r="W377" s="306"/>
      <c r="X377" s="307"/>
      <c r="Y377" s="1021"/>
      <c r="Z377" s="1022"/>
      <c r="AA377" s="1023"/>
    </row>
    <row r="378" spans="2:28" s="172" customFormat="1" ht="16.5" customHeight="1" x14ac:dyDescent="0.15">
      <c r="B378" s="348"/>
      <c r="C378" s="1068"/>
      <c r="D378" s="350"/>
      <c r="E378" s="233"/>
      <c r="F378" s="1054">
        <f>IF(AND($W$165="非該当",$B$370&lt;&gt;""),DATE(YEAR($I$27)-11,MONTH($I$27),DAY($I$27)),"")</f>
        <v>41730</v>
      </c>
      <c r="G378" s="1055"/>
      <c r="H378" s="1056"/>
      <c r="I378" s="1057">
        <f>IF(I375="","",I375)</f>
        <v>2</v>
      </c>
      <c r="J378" s="1058"/>
      <c r="K378" s="1059" t="str">
        <f>IF(B$370="","",P18)</f>
        <v>令和5</v>
      </c>
      <c r="L378" s="1060"/>
      <c r="M378" s="300">
        <v>0</v>
      </c>
      <c r="N378" s="301"/>
      <c r="O378" s="302">
        <f>IF(B$370="","",IF(I381&lt;1,"－",ROUND(M381/I381,3)))</f>
        <v>0.33300000000000002</v>
      </c>
      <c r="P378" s="303"/>
      <c r="Q378" s="1057">
        <f>IF(Q375="","",Q375)</f>
        <v>0</v>
      </c>
      <c r="R378" s="1058"/>
      <c r="S378" s="1059" t="str">
        <f>IF(B$370="","",P18)</f>
        <v>令和5</v>
      </c>
      <c r="T378" s="1060"/>
      <c r="U378" s="300">
        <v>0</v>
      </c>
      <c r="V378" s="301"/>
      <c r="W378" s="302">
        <f>IF(B$370="","",IF(Q381&lt;1,"－",ROUND(U381/Q381,3)))</f>
        <v>1</v>
      </c>
      <c r="X378" s="303"/>
      <c r="Y378" s="1038" t="s">
        <v>172</v>
      </c>
      <c r="Z378" s="1039"/>
      <c r="AA378" s="1040"/>
    </row>
    <row r="379" spans="2:28" s="172" customFormat="1" ht="16.5" customHeight="1" x14ac:dyDescent="0.15">
      <c r="B379" s="348"/>
      <c r="C379" s="1068"/>
      <c r="D379" s="350"/>
      <c r="E379" s="228" t="str">
        <f>IF(B370="","",B370&amp;F379)</f>
        <v>パート技術職41365</v>
      </c>
      <c r="F379" s="1041">
        <f>IF(AND($W$165="非該当",$B$370&lt;&gt;""),DATE(YEAR($I$27)-12,MONTH($I$27),DAY($I$27)),"　　　　★")</f>
        <v>41365</v>
      </c>
      <c r="G379" s="1042"/>
      <c r="H379" s="1043"/>
      <c r="I379" s="1044">
        <f>IF(I376="","",I376)</f>
        <v>0</v>
      </c>
      <c r="J379" s="1045"/>
      <c r="K379" s="1046" t="str">
        <f>IF(B$370="","★の10事業年度後在職者数","事業年度在職者数")</f>
        <v>事業年度在職者数</v>
      </c>
      <c r="L379" s="1047"/>
      <c r="M379" s="318">
        <v>0</v>
      </c>
      <c r="N379" s="319"/>
      <c r="O379" s="304"/>
      <c r="P379" s="305"/>
      <c r="Q379" s="1044">
        <f>IF(Q376="","",Q376)</f>
        <v>1</v>
      </c>
      <c r="R379" s="1045"/>
      <c r="S379" s="1046" t="str">
        <f>IF(B$370="","★の10事業年度後在職者数","事業年度在職者数")</f>
        <v>事業年度在職者数</v>
      </c>
      <c r="T379" s="1047"/>
      <c r="U379" s="318">
        <v>1</v>
      </c>
      <c r="V379" s="319"/>
      <c r="W379" s="304"/>
      <c r="X379" s="305"/>
      <c r="Y379" s="1048">
        <f>IF(B$370="","",IF(OR(O378="－",W378="－",W378=0),"－",ROUND(O378/W378,2)))</f>
        <v>0.33</v>
      </c>
      <c r="Z379" s="1049"/>
      <c r="AA379" s="1050"/>
    </row>
    <row r="380" spans="2:28" s="172" customFormat="1" ht="16.5" customHeight="1" x14ac:dyDescent="0.15">
      <c r="B380" s="348"/>
      <c r="C380" s="1068"/>
      <c r="D380" s="350"/>
      <c r="E380" s="233"/>
      <c r="F380" s="1051">
        <f>IF(AND($W$165="非該当",$B$370&lt;&gt;""),DATE(YEAR($I$27)-13,MONTH($I$27),DAY($I$27)),"")</f>
        <v>41000</v>
      </c>
      <c r="G380" s="1052"/>
      <c r="H380" s="1053"/>
      <c r="I380" s="318">
        <v>1</v>
      </c>
      <c r="J380" s="319"/>
      <c r="K380" s="1046"/>
      <c r="L380" s="1047"/>
      <c r="M380" s="318">
        <v>1</v>
      </c>
      <c r="N380" s="319"/>
      <c r="O380" s="304"/>
      <c r="P380" s="305"/>
      <c r="Q380" s="318">
        <v>0</v>
      </c>
      <c r="R380" s="319"/>
      <c r="S380" s="1046"/>
      <c r="T380" s="1047"/>
      <c r="U380" s="318">
        <v>0</v>
      </c>
      <c r="V380" s="319"/>
      <c r="W380" s="304"/>
      <c r="X380" s="305"/>
      <c r="Y380" s="1048"/>
      <c r="Z380" s="1049"/>
      <c r="AA380" s="1050"/>
    </row>
    <row r="381" spans="2:28" s="172" customFormat="1" ht="16.5" customHeight="1" thickBot="1" x14ac:dyDescent="0.2">
      <c r="B381" s="348"/>
      <c r="C381" s="1068"/>
      <c r="D381" s="350"/>
      <c r="E381" s="233"/>
      <c r="F381" s="1033" t="s">
        <v>15</v>
      </c>
      <c r="G381" s="1034"/>
      <c r="H381" s="1035"/>
      <c r="I381" s="1036">
        <f>IF($B$370="","",SUM(I378:J380))</f>
        <v>3</v>
      </c>
      <c r="J381" s="1037"/>
      <c r="K381" s="261"/>
      <c r="L381" s="262"/>
      <c r="M381" s="1036">
        <f>IF($B$370="","",SUM(M378:N380))</f>
        <v>1</v>
      </c>
      <c r="N381" s="1037"/>
      <c r="O381" s="306"/>
      <c r="P381" s="307"/>
      <c r="Q381" s="1036">
        <f>IF($B$370="","",SUM(Q378:R380))</f>
        <v>1</v>
      </c>
      <c r="R381" s="1037"/>
      <c r="S381" s="263"/>
      <c r="T381" s="263"/>
      <c r="U381" s="1036">
        <f>IF($B$370="","",SUM(U378:V380))</f>
        <v>1</v>
      </c>
      <c r="V381" s="1037"/>
      <c r="W381" s="306"/>
      <c r="X381" s="307"/>
      <c r="Y381" s="1021"/>
      <c r="Z381" s="1022"/>
      <c r="AA381" s="1023"/>
    </row>
    <row r="382" spans="2:28" s="172" customFormat="1" ht="16.5" customHeight="1" x14ac:dyDescent="0.15">
      <c r="B382" s="348"/>
      <c r="C382" s="1068"/>
      <c r="D382" s="350"/>
      <c r="E382" s="233"/>
      <c r="F382" s="1054">
        <f>IF(AND($W$165="非該当",$B$370&lt;&gt;""),DATE(YEAR($I$27)-12,MONTH($I$27),DAY($I$27)),"")</f>
        <v>41365</v>
      </c>
      <c r="G382" s="1055"/>
      <c r="H382" s="1056"/>
      <c r="I382" s="1057">
        <f>IF(I379="","",I379)</f>
        <v>0</v>
      </c>
      <c r="J382" s="1058"/>
      <c r="K382" s="1059" t="str">
        <f>IF(B$370="","",P19)</f>
        <v>令和4</v>
      </c>
      <c r="L382" s="1060"/>
      <c r="M382" s="300">
        <v>0</v>
      </c>
      <c r="N382" s="301"/>
      <c r="O382" s="302">
        <f>IF(B$370="","",IF(I385&lt;1,"－",ROUND(M385/I385,3)))</f>
        <v>0.66700000000000004</v>
      </c>
      <c r="P382" s="303"/>
      <c r="Q382" s="1057">
        <f>IF(Q379="","",Q379)</f>
        <v>1</v>
      </c>
      <c r="R382" s="1058"/>
      <c r="S382" s="1059" t="str">
        <f>IF(B$370="","",P19)</f>
        <v>令和4</v>
      </c>
      <c r="T382" s="1060"/>
      <c r="U382" s="300">
        <v>1</v>
      </c>
      <c r="V382" s="301"/>
      <c r="W382" s="302">
        <f>IF(B$370="","",IF(Q385&lt;1,"－",ROUND(U385/Q385,3)))</f>
        <v>0.5</v>
      </c>
      <c r="X382" s="303"/>
      <c r="Y382" s="1038" t="s">
        <v>173</v>
      </c>
      <c r="Z382" s="1039"/>
      <c r="AA382" s="1040"/>
      <c r="AB382" s="264"/>
    </row>
    <row r="383" spans="2:28" s="172" customFormat="1" ht="16.5" customHeight="1" x14ac:dyDescent="0.15">
      <c r="B383" s="348"/>
      <c r="C383" s="1068"/>
      <c r="D383" s="350"/>
      <c r="E383" s="228" t="str">
        <f>IF(B370="","",B370&amp;F383)</f>
        <v>パート技術職41000</v>
      </c>
      <c r="F383" s="1041">
        <f>IF(AND($W$165="非該当",$B$370&lt;&gt;""),DATE(YEAR($I$27)-13,MONTH($I$27),DAY($I$27)),"　　　　★")</f>
        <v>41000</v>
      </c>
      <c r="G383" s="1042"/>
      <c r="H383" s="1043"/>
      <c r="I383" s="1044">
        <f>IF(I380="","",I380)</f>
        <v>1</v>
      </c>
      <c r="J383" s="1045"/>
      <c r="K383" s="1046" t="str">
        <f>IF(B$370="","★の10事業年度後在職者数","事業年度在職者数")</f>
        <v>事業年度在職者数</v>
      </c>
      <c r="L383" s="1047"/>
      <c r="M383" s="318">
        <v>1</v>
      </c>
      <c r="N383" s="319"/>
      <c r="O383" s="304"/>
      <c r="P383" s="305"/>
      <c r="Q383" s="1044">
        <f>IF(Q380="","",Q380)</f>
        <v>0</v>
      </c>
      <c r="R383" s="1045"/>
      <c r="S383" s="1046" t="str">
        <f>IF(B$370="","★の10事業年度後在職者数","事業年度在職者数")</f>
        <v>事業年度在職者数</v>
      </c>
      <c r="T383" s="1047"/>
      <c r="U383" s="318">
        <v>0</v>
      </c>
      <c r="V383" s="319"/>
      <c r="W383" s="304"/>
      <c r="X383" s="305"/>
      <c r="Y383" s="1048">
        <f>IF(B$370="","",IF(OR(O382="－",W382="－",W382=0),"－",ROUND(O382/W382,2)))</f>
        <v>1.33</v>
      </c>
      <c r="Z383" s="1049"/>
      <c r="AA383" s="1050"/>
      <c r="AB383" s="264"/>
    </row>
    <row r="384" spans="2:28" s="172" customFormat="1" ht="16.5" customHeight="1" x14ac:dyDescent="0.15">
      <c r="B384" s="348"/>
      <c r="C384" s="1068"/>
      <c r="D384" s="350"/>
      <c r="E384" s="233"/>
      <c r="F384" s="1051">
        <f>IF(AND($W$165="非該当",$B$370&lt;&gt;""),DATE(YEAR($I$27)-14,MONTH($I$27),DAY($I$27)),"")</f>
        <v>40634</v>
      </c>
      <c r="G384" s="1052"/>
      <c r="H384" s="1053"/>
      <c r="I384" s="318">
        <v>2</v>
      </c>
      <c r="J384" s="319"/>
      <c r="K384" s="1046"/>
      <c r="L384" s="1047"/>
      <c r="M384" s="318">
        <v>1</v>
      </c>
      <c r="N384" s="319"/>
      <c r="O384" s="304"/>
      <c r="P384" s="305"/>
      <c r="Q384" s="318">
        <v>1</v>
      </c>
      <c r="R384" s="319"/>
      <c r="S384" s="1046"/>
      <c r="T384" s="1047"/>
      <c r="U384" s="318">
        <v>0</v>
      </c>
      <c r="V384" s="319"/>
      <c r="W384" s="304"/>
      <c r="X384" s="305"/>
      <c r="Y384" s="1048"/>
      <c r="Z384" s="1049"/>
      <c r="AA384" s="1050"/>
      <c r="AB384" s="264"/>
    </row>
    <row r="385" spans="2:28" s="172" customFormat="1" ht="16.5" customHeight="1" thickBot="1" x14ac:dyDescent="0.2">
      <c r="B385" s="348"/>
      <c r="C385" s="1068"/>
      <c r="D385" s="350"/>
      <c r="E385" s="233"/>
      <c r="F385" s="1033" t="s">
        <v>15</v>
      </c>
      <c r="G385" s="1034"/>
      <c r="H385" s="1035"/>
      <c r="I385" s="1036">
        <f>IF($B$370="","",SUM(I382:J384))</f>
        <v>3</v>
      </c>
      <c r="J385" s="1037"/>
      <c r="K385" s="261"/>
      <c r="L385" s="262"/>
      <c r="M385" s="1036">
        <f>IF($B$370="","",SUM(M382:N384))</f>
        <v>2</v>
      </c>
      <c r="N385" s="1037"/>
      <c r="O385" s="306"/>
      <c r="P385" s="307"/>
      <c r="Q385" s="1036">
        <f>IF($B$370="","",SUM(Q382:R384))</f>
        <v>2</v>
      </c>
      <c r="R385" s="1037"/>
      <c r="S385" s="263"/>
      <c r="T385" s="263"/>
      <c r="U385" s="1036">
        <f>IF($B$370="","",SUM(U382:V384))</f>
        <v>1</v>
      </c>
      <c r="V385" s="1037"/>
      <c r="W385" s="306"/>
      <c r="X385" s="307"/>
      <c r="Y385" s="1021"/>
      <c r="Z385" s="1022"/>
      <c r="AA385" s="1023"/>
      <c r="AB385" s="264"/>
    </row>
    <row r="386" spans="2:28" s="172" customFormat="1" ht="16.5" customHeight="1" x14ac:dyDescent="0.15">
      <c r="B386" s="348"/>
      <c r="C386" s="1068"/>
      <c r="D386" s="350"/>
      <c r="E386" s="233"/>
      <c r="F386" s="1054">
        <f>IF(AND($W$165="非該当",$B$370&lt;&gt;""),DATE(YEAR($I$27)-13,MONTH($I$27),DAY($I$27)),"")</f>
        <v>41000</v>
      </c>
      <c r="G386" s="1055"/>
      <c r="H386" s="1056"/>
      <c r="I386" s="1057">
        <f>IF(I383="","",I383)</f>
        <v>1</v>
      </c>
      <c r="J386" s="1058"/>
      <c r="K386" s="1059" t="str">
        <f>IF(B$370="","",P20)</f>
        <v>令和3</v>
      </c>
      <c r="L386" s="1060"/>
      <c r="M386" s="300">
        <v>1</v>
      </c>
      <c r="N386" s="301"/>
      <c r="O386" s="302">
        <f>IF(B$370="","",IF(I389&lt;1,"－",ROUND(M389/I389,3)))</f>
        <v>0.8</v>
      </c>
      <c r="P386" s="303"/>
      <c r="Q386" s="1057">
        <f>IF(Q383="","",Q383)</f>
        <v>0</v>
      </c>
      <c r="R386" s="1058"/>
      <c r="S386" s="1059" t="str">
        <f>IF(B$370="","",P20)</f>
        <v>令和3</v>
      </c>
      <c r="T386" s="1060"/>
      <c r="U386" s="300">
        <v>0</v>
      </c>
      <c r="V386" s="301"/>
      <c r="W386" s="302">
        <f>IF(B$370="","",IF(Q389&lt;1,"－",ROUND(U389/Q389,3)))</f>
        <v>0</v>
      </c>
      <c r="X386" s="303"/>
      <c r="Y386" s="1038" t="s">
        <v>174</v>
      </c>
      <c r="Z386" s="1039"/>
      <c r="AA386" s="1040"/>
    </row>
    <row r="387" spans="2:28" s="172" customFormat="1" ht="16.5" customHeight="1" x14ac:dyDescent="0.15">
      <c r="B387" s="348"/>
      <c r="C387" s="1068"/>
      <c r="D387" s="350"/>
      <c r="E387" s="228" t="str">
        <f>IF(B370="","",B370&amp;F387)</f>
        <v>パート技術職40634</v>
      </c>
      <c r="F387" s="1041">
        <f>IF(AND($W$165="非該当",$B$370&lt;&gt;""),DATE(YEAR($I$27)-14,MONTH($I$27),DAY($I$27)),"　　　　★")</f>
        <v>40634</v>
      </c>
      <c r="G387" s="1042"/>
      <c r="H387" s="1043"/>
      <c r="I387" s="1044">
        <f>IF(I384="","",I384)</f>
        <v>2</v>
      </c>
      <c r="J387" s="1045"/>
      <c r="K387" s="1046" t="str">
        <f>IF(B$370="","★の10事業年度後在職者数","事業年度在職者数")</f>
        <v>事業年度在職者数</v>
      </c>
      <c r="L387" s="1047"/>
      <c r="M387" s="318">
        <v>1</v>
      </c>
      <c r="N387" s="319"/>
      <c r="O387" s="304"/>
      <c r="P387" s="305"/>
      <c r="Q387" s="1044">
        <f>IF(Q384="","",Q384)</f>
        <v>1</v>
      </c>
      <c r="R387" s="1045"/>
      <c r="S387" s="1046" t="str">
        <f>IF(B$370="","★の10事業年度後在職者数","事業年度在職者数")</f>
        <v>事業年度在職者数</v>
      </c>
      <c r="T387" s="1047"/>
      <c r="U387" s="318">
        <v>0</v>
      </c>
      <c r="V387" s="319"/>
      <c r="W387" s="304"/>
      <c r="X387" s="305"/>
      <c r="Y387" s="1048" t="str">
        <f>IF(B$370="","",IF(OR(O386="－",W386="－",W386=0),"－",ROUND(O386/W386,2)))</f>
        <v>－</v>
      </c>
      <c r="Z387" s="1049"/>
      <c r="AA387" s="1050"/>
    </row>
    <row r="388" spans="2:28" s="172" customFormat="1" ht="16.5" customHeight="1" x14ac:dyDescent="0.15">
      <c r="B388" s="348"/>
      <c r="C388" s="1068"/>
      <c r="D388" s="350"/>
      <c r="E388" s="233"/>
      <c r="F388" s="1051">
        <f>IF(AND($W$165="非該当",$B$370&lt;&gt;""),DATE(YEAR($I$27)-15,MONTH($I$27),DAY($I$27)),"")</f>
        <v>40269</v>
      </c>
      <c r="G388" s="1052"/>
      <c r="H388" s="1053"/>
      <c r="I388" s="318">
        <v>2</v>
      </c>
      <c r="J388" s="319"/>
      <c r="K388" s="1046"/>
      <c r="L388" s="1047"/>
      <c r="M388" s="318">
        <v>2</v>
      </c>
      <c r="N388" s="319"/>
      <c r="O388" s="304"/>
      <c r="P388" s="305"/>
      <c r="Q388" s="318">
        <v>0</v>
      </c>
      <c r="R388" s="319"/>
      <c r="S388" s="1046"/>
      <c r="T388" s="1047"/>
      <c r="U388" s="318">
        <v>0</v>
      </c>
      <c r="V388" s="319"/>
      <c r="W388" s="304"/>
      <c r="X388" s="305"/>
      <c r="Y388" s="1048"/>
      <c r="Z388" s="1049"/>
      <c r="AA388" s="1050"/>
    </row>
    <row r="389" spans="2:28" s="172" customFormat="1" ht="16.5" customHeight="1" thickBot="1" x14ac:dyDescent="0.2">
      <c r="B389" s="348"/>
      <c r="C389" s="1068"/>
      <c r="D389" s="350"/>
      <c r="E389" s="233"/>
      <c r="F389" s="1033" t="s">
        <v>15</v>
      </c>
      <c r="G389" s="1034"/>
      <c r="H389" s="1035"/>
      <c r="I389" s="1036">
        <f>IF($B$370="","",SUM(I386:J388))</f>
        <v>5</v>
      </c>
      <c r="J389" s="1037"/>
      <c r="K389" s="261"/>
      <c r="L389" s="262"/>
      <c r="M389" s="1036">
        <f>IF($B$370="","",SUM(M386:N388))</f>
        <v>4</v>
      </c>
      <c r="N389" s="1037"/>
      <c r="O389" s="306"/>
      <c r="P389" s="307"/>
      <c r="Q389" s="1036">
        <f>IF($B$370="","",SUM(Q386:R388))</f>
        <v>1</v>
      </c>
      <c r="R389" s="1037"/>
      <c r="S389" s="263"/>
      <c r="T389" s="263"/>
      <c r="U389" s="1036">
        <f>IF($B$370="","",SUM(U386:V388))</f>
        <v>0</v>
      </c>
      <c r="V389" s="1037"/>
      <c r="W389" s="306"/>
      <c r="X389" s="307"/>
      <c r="Y389" s="1021"/>
      <c r="Z389" s="1022"/>
      <c r="AA389" s="1023"/>
    </row>
    <row r="390" spans="2:28" s="172" customFormat="1" ht="16.5" customHeight="1" x14ac:dyDescent="0.15">
      <c r="B390" s="348"/>
      <c r="C390" s="1068"/>
      <c r="D390" s="350"/>
      <c r="E390" s="228" t="str">
        <f>B370&amp;1</f>
        <v>パート技術職1</v>
      </c>
      <c r="F390" s="265" t="str">
        <f>IF(F380=""," 9～13年前採用者の３事業年度ごと継続雇用割合男女比の平均（ア～ウの平均）",S15&amp;"～"&amp;T19&amp;"採用者の３事業年度ごと継続雇用割合男女比の平均（ア～ウの平均）")</f>
        <v>平成28～24年採用者の３事業年度ごと継続雇用割合男女比の平均（ア～ウの平均）</v>
      </c>
      <c r="G390" s="266"/>
      <c r="H390" s="266"/>
      <c r="I390" s="266"/>
      <c r="J390" s="266"/>
      <c r="K390" s="266"/>
      <c r="L390" s="266"/>
      <c r="M390" s="266"/>
      <c r="N390" s="266"/>
      <c r="O390" s="266"/>
      <c r="P390" s="266"/>
      <c r="Q390" s="266"/>
      <c r="R390" s="266"/>
      <c r="S390" s="266"/>
      <c r="T390" s="266"/>
      <c r="U390" s="266"/>
      <c r="V390" s="266"/>
      <c r="W390" s="266"/>
      <c r="X390" s="267"/>
      <c r="Y390" s="1024" t="str">
        <f>IF(B370="","",IF(OR(Y371="－",Y375="－",Y379="－"),"算出不能",ROUND(AVERAGE(Y371,Y375,Y379),3)))</f>
        <v>算出不能</v>
      </c>
      <c r="Z390" s="1025"/>
      <c r="AA390" s="1026"/>
    </row>
    <row r="391" spans="2:28" s="172" customFormat="1" ht="16.5" customHeight="1" x14ac:dyDescent="0.15">
      <c r="B391" s="348"/>
      <c r="C391" s="1068"/>
      <c r="D391" s="350"/>
      <c r="E391" s="228" t="str">
        <f>B370&amp;2</f>
        <v>パート技術職2</v>
      </c>
      <c r="F391" s="268" t="str">
        <f>IF(F384="","10～14年前採用者の　　　　　　　　〃　　　　　　　　　　（イ～エの平均）",S16&amp;"～"&amp;T20&amp;"採用者の　　　　　　　　〃　　　　　　　　　　（イ～エの平均）")</f>
        <v>平成27～23年採用者の　　　　　　　　〃　　　　　　　　　　（イ～エの平均）</v>
      </c>
      <c r="G391" s="269"/>
      <c r="H391" s="269"/>
      <c r="I391" s="269"/>
      <c r="J391" s="269"/>
      <c r="K391" s="269"/>
      <c r="L391" s="269"/>
      <c r="M391" s="269"/>
      <c r="N391" s="269"/>
      <c r="O391" s="270"/>
      <c r="P391" s="270"/>
      <c r="Q391" s="270"/>
      <c r="R391" s="270"/>
      <c r="S391" s="269"/>
      <c r="T391" s="269"/>
      <c r="U391" s="269"/>
      <c r="V391" s="269"/>
      <c r="W391" s="269"/>
      <c r="X391" s="271"/>
      <c r="Y391" s="1027" t="str">
        <f>IF(B370="","",IF(OR(Y375="－",Y379="－",Y383="－"),"算出不能",ROUND(AVERAGE(Y375,Y379,Y383),3)))</f>
        <v>算出不能</v>
      </c>
      <c r="Z391" s="1028"/>
      <c r="AA391" s="1029"/>
    </row>
    <row r="392" spans="2:28" ht="16.5" customHeight="1" thickBot="1" x14ac:dyDescent="0.2">
      <c r="B392" s="351"/>
      <c r="C392" s="352"/>
      <c r="D392" s="353"/>
      <c r="E392" s="228" t="str">
        <f>B370&amp;3</f>
        <v>パート技術職3</v>
      </c>
      <c r="F392" s="272" t="str">
        <f>IF(F388="","11～15年前採用者の　　　　　　　　〃　　　　　　　　　　（ウ～オの平均）",S17&amp;"～"&amp;T21&amp;"採用者の　　　　　　　　〃　　　　　　　　　　（ウ～オの平均）")</f>
        <v>平成26～22年採用者の　　　　　　　　〃　　　　　　　　　　（ウ～オの平均）</v>
      </c>
      <c r="G392" s="273"/>
      <c r="H392" s="273"/>
      <c r="I392" s="273"/>
      <c r="J392" s="273"/>
      <c r="K392" s="273"/>
      <c r="L392" s="273"/>
      <c r="M392" s="273"/>
      <c r="N392" s="273"/>
      <c r="O392" s="273"/>
      <c r="P392" s="273"/>
      <c r="Q392" s="273"/>
      <c r="R392" s="273"/>
      <c r="S392" s="273"/>
      <c r="T392" s="273"/>
      <c r="U392" s="274"/>
      <c r="V392" s="273"/>
      <c r="W392" s="274"/>
      <c r="X392" s="275"/>
      <c r="Y392" s="1030" t="str">
        <f>IF(B370="","",IF(OR(Y379="－",Y383="－",Y387="－"),"算出不能",ROUND(AVERAGE(Y379,Y383,Y387),3)))</f>
        <v>算出不能</v>
      </c>
      <c r="Z392" s="1031"/>
      <c r="AA392" s="1032"/>
    </row>
    <row r="393" spans="2:28" ht="9" customHeight="1" x14ac:dyDescent="0.15">
      <c r="Y393" s="260"/>
      <c r="AA393" s="260"/>
    </row>
    <row r="394" spans="2:28" ht="17.25" customHeight="1" x14ac:dyDescent="0.15">
      <c r="B394" s="171" t="s">
        <v>204</v>
      </c>
      <c r="Y394" s="260"/>
      <c r="AA394" s="212" t="str">
        <f t="shared" ref="AA394" si="30">IF(G$23="","",G$23)</f>
        <v>秋田共同参画株式会社</v>
      </c>
    </row>
    <row r="395" spans="2:28" ht="17.25" customHeight="1" x14ac:dyDescent="0.15"/>
    <row r="396" spans="2:28" ht="17.25" customHeight="1" thickBot="1" x14ac:dyDescent="0.2">
      <c r="I396" s="1075" t="s">
        <v>40</v>
      </c>
      <c r="J396" s="1076"/>
      <c r="K396" s="1076"/>
      <c r="L396" s="1076"/>
      <c r="M396" s="1076"/>
      <c r="N396" s="1076"/>
      <c r="O396" s="1076"/>
      <c r="P396" s="1077"/>
      <c r="Q396" s="1075" t="s">
        <v>41</v>
      </c>
      <c r="R396" s="1076"/>
      <c r="S396" s="1076"/>
      <c r="T396" s="1076"/>
      <c r="U396" s="1076"/>
      <c r="V396" s="1076"/>
      <c r="W396" s="1076"/>
      <c r="X396" s="1077"/>
    </row>
    <row r="397" spans="2:28" s="172" customFormat="1" ht="40.5" customHeight="1" thickBot="1" x14ac:dyDescent="0.2">
      <c r="B397" s="1069" t="s">
        <v>0</v>
      </c>
      <c r="C397" s="1070"/>
      <c r="D397" s="1071"/>
      <c r="F397" s="1072" t="s">
        <v>230</v>
      </c>
      <c r="G397" s="1065"/>
      <c r="H397" s="1073"/>
      <c r="I397" s="1064" t="s">
        <v>221</v>
      </c>
      <c r="J397" s="1066"/>
      <c r="K397" s="1061" t="s">
        <v>180</v>
      </c>
      <c r="L397" s="1062"/>
      <c r="M397" s="1062"/>
      <c r="N397" s="1063"/>
      <c r="O397" s="1064" t="s">
        <v>181</v>
      </c>
      <c r="P397" s="1073"/>
      <c r="Q397" s="1064" t="s">
        <v>221</v>
      </c>
      <c r="R397" s="1074"/>
      <c r="S397" s="1061" t="s">
        <v>180</v>
      </c>
      <c r="T397" s="1062"/>
      <c r="U397" s="1062"/>
      <c r="V397" s="1063"/>
      <c r="W397" s="1064" t="s">
        <v>182</v>
      </c>
      <c r="X397" s="1065"/>
      <c r="Y397" s="1064" t="s">
        <v>169</v>
      </c>
      <c r="Z397" s="1066"/>
      <c r="AA397" s="1067"/>
    </row>
    <row r="398" spans="2:28" s="172" customFormat="1" ht="16.5" customHeight="1" x14ac:dyDescent="0.15">
      <c r="B398" s="345"/>
      <c r="C398" s="346"/>
      <c r="D398" s="347"/>
      <c r="E398" s="228" t="str">
        <f>IF(B398="","",B398&amp;F398)</f>
        <v/>
      </c>
      <c r="F398" s="1054" t="str">
        <f>IF(AND($W$165="非該当",$B$398&lt;&gt;""),DATE(YEAR($I$27)-9,MONTH($I$27),DAY($I$27)),"")</f>
        <v/>
      </c>
      <c r="G398" s="1055"/>
      <c r="H398" s="1056"/>
      <c r="I398" s="1057" t="str">
        <f>IF($B$398="","",VLOOKUP($E398,$E$153:$T$164,5,FALSE))</f>
        <v/>
      </c>
      <c r="J398" s="1058"/>
      <c r="K398" s="1059" t="str">
        <f>IF(B$398="","",P16)</f>
        <v/>
      </c>
      <c r="L398" s="1060"/>
      <c r="M398" s="1057" t="str">
        <f>IF($B$398="","",VLOOKUP($E398,$E$153:$T$164,7,FALSE))</f>
        <v/>
      </c>
      <c r="N398" s="1058"/>
      <c r="O398" s="302" t="str">
        <f>IF(B$398="","",IF(I401&lt;1,"－",ROUND(M401/I401,3)))</f>
        <v/>
      </c>
      <c r="P398" s="303"/>
      <c r="Q398" s="1057" t="str">
        <f>IF($B$398="","",VLOOKUP($E398,$E$153:$T$164,12,FALSE))</f>
        <v/>
      </c>
      <c r="R398" s="1058"/>
      <c r="S398" s="1059" t="str">
        <f>IF(B$398="","",P16)</f>
        <v/>
      </c>
      <c r="T398" s="1060"/>
      <c r="U398" s="1057" t="str">
        <f>IF($B$398="","",VLOOKUP($E398,$E$153:$T$164,14,FALSE))</f>
        <v/>
      </c>
      <c r="V398" s="1058"/>
      <c r="W398" s="302" t="str">
        <f>IF(B$398="","",IF(Q401&lt;1,"－",ROUND(U401/Q401,3)))</f>
        <v/>
      </c>
      <c r="X398" s="303"/>
      <c r="Y398" s="1038" t="s">
        <v>170</v>
      </c>
      <c r="Z398" s="1039"/>
      <c r="AA398" s="1040"/>
    </row>
    <row r="399" spans="2:28" s="172" customFormat="1" ht="16.5" customHeight="1" x14ac:dyDescent="0.15">
      <c r="B399" s="348"/>
      <c r="C399" s="1068"/>
      <c r="D399" s="350"/>
      <c r="E399" s="228" t="str">
        <f>IF(B398="","",B398&amp;F399)</f>
        <v/>
      </c>
      <c r="F399" s="1041" t="str">
        <f>IF(AND($W$165="非該当",$B$398&lt;&gt;""),DATE(YEAR($I$27)-10,MONTH($I$27),DAY($I$27)),"　　　　★")</f>
        <v>　　　　★</v>
      </c>
      <c r="G399" s="1042"/>
      <c r="H399" s="1043"/>
      <c r="I399" s="1044" t="str">
        <f>IF($B$398="","",VLOOKUP($E399,$E$153:$T$164,5,FALSE))</f>
        <v/>
      </c>
      <c r="J399" s="1045"/>
      <c r="K399" s="1046" t="str">
        <f>IF(B$398="","★の10事業年度後在職者数","事業年度在職者数")</f>
        <v>★の10事業年度後在職者数</v>
      </c>
      <c r="L399" s="1047"/>
      <c r="M399" s="1044" t="str">
        <f>IF($B$398="","",VLOOKUP($E399,$E$153:$T$164,7,FALSE))</f>
        <v/>
      </c>
      <c r="N399" s="1045"/>
      <c r="O399" s="304"/>
      <c r="P399" s="305"/>
      <c r="Q399" s="1044" t="str">
        <f>IF($B$398="","",VLOOKUP($E399,$E$153:$T$164,12,FALSE))</f>
        <v/>
      </c>
      <c r="R399" s="1045"/>
      <c r="S399" s="1046" t="str">
        <f>IF(B$398="","★の10事業年度後在職者数","事業年度在職者数")</f>
        <v>★の10事業年度後在職者数</v>
      </c>
      <c r="T399" s="1047"/>
      <c r="U399" s="1044" t="str">
        <f>IF($B$398="","",VLOOKUP($E399,$E$153:$T$164,14,FALSE))</f>
        <v/>
      </c>
      <c r="V399" s="1045"/>
      <c r="W399" s="304"/>
      <c r="X399" s="305"/>
      <c r="Y399" s="1048" t="str">
        <f>IF(B$398="","",IF(OR(O398="－",W398="－",W398=0),"－",ROUND(O398/W398,2)))</f>
        <v/>
      </c>
      <c r="Z399" s="1049"/>
      <c r="AA399" s="1050"/>
    </row>
    <row r="400" spans="2:28" s="172" customFormat="1" ht="16.5" customHeight="1" x14ac:dyDescent="0.15">
      <c r="B400" s="348"/>
      <c r="C400" s="1068"/>
      <c r="D400" s="350"/>
      <c r="E400" s="228" t="str">
        <f>IF(B398="","",B398&amp;F400)</f>
        <v/>
      </c>
      <c r="F400" s="1051" t="str">
        <f>IF(AND($W$165="非該当",$B$398&lt;&gt;""),DATE(YEAR($I$27)-11,MONTH($I$27),DAY($I$27)),"")</f>
        <v/>
      </c>
      <c r="G400" s="1052"/>
      <c r="H400" s="1053"/>
      <c r="I400" s="1044" t="str">
        <f>IF($B$398="","",VLOOKUP($E400,$E$153:$T$164,5,FALSE))</f>
        <v/>
      </c>
      <c r="J400" s="1045"/>
      <c r="K400" s="1046"/>
      <c r="L400" s="1047"/>
      <c r="M400" s="1044" t="str">
        <f>IF($B$398="","",VLOOKUP($E400,$E$153:$T$164,7,FALSE))</f>
        <v/>
      </c>
      <c r="N400" s="1045"/>
      <c r="O400" s="304"/>
      <c r="P400" s="305"/>
      <c r="Q400" s="1044" t="str">
        <f>IF($B$398="","",VLOOKUP($E400,$E$153:$T$164,12,FALSE))</f>
        <v/>
      </c>
      <c r="R400" s="1045"/>
      <c r="S400" s="1046"/>
      <c r="T400" s="1047"/>
      <c r="U400" s="1044" t="str">
        <f>IF($B$398="","",VLOOKUP($E400,$E$153:$T$164,14,FALSE))</f>
        <v/>
      </c>
      <c r="V400" s="1045"/>
      <c r="W400" s="304"/>
      <c r="X400" s="305"/>
      <c r="Y400" s="1048"/>
      <c r="Z400" s="1049"/>
      <c r="AA400" s="1050"/>
    </row>
    <row r="401" spans="2:28" s="172" customFormat="1" ht="16.5" customHeight="1" thickBot="1" x14ac:dyDescent="0.2">
      <c r="B401" s="348"/>
      <c r="C401" s="1068"/>
      <c r="D401" s="350"/>
      <c r="E401" s="233"/>
      <c r="F401" s="1033" t="s">
        <v>15</v>
      </c>
      <c r="G401" s="1034"/>
      <c r="H401" s="1035"/>
      <c r="I401" s="1036" t="str">
        <f>IF($B$398="","",SUM(I398:J400))</f>
        <v/>
      </c>
      <c r="J401" s="1037"/>
      <c r="K401" s="261"/>
      <c r="L401" s="262"/>
      <c r="M401" s="1036" t="str">
        <f>IF($B$398="","",SUM(M398:N400))</f>
        <v/>
      </c>
      <c r="N401" s="1037"/>
      <c r="O401" s="306"/>
      <c r="P401" s="307"/>
      <c r="Q401" s="1036" t="str">
        <f>IF($B$398="","",SUM(Q398:R400))</f>
        <v/>
      </c>
      <c r="R401" s="1037"/>
      <c r="S401" s="261"/>
      <c r="T401" s="262"/>
      <c r="U401" s="1036" t="str">
        <f>IF($B$398="","",SUM(U398:V400))</f>
        <v/>
      </c>
      <c r="V401" s="1037"/>
      <c r="W401" s="306"/>
      <c r="X401" s="307"/>
      <c r="Y401" s="1021"/>
      <c r="Z401" s="1022"/>
      <c r="AA401" s="1023"/>
    </row>
    <row r="402" spans="2:28" s="172" customFormat="1" ht="16.5" customHeight="1" x14ac:dyDescent="0.15">
      <c r="B402" s="348"/>
      <c r="C402" s="1068"/>
      <c r="D402" s="350"/>
      <c r="E402" s="233"/>
      <c r="F402" s="1054" t="str">
        <f>IF(AND($W$165="非該当",$B$398&lt;&gt;""),DATE(YEAR($I$27)-10,MONTH($I$27),DAY($I$27)),"")</f>
        <v/>
      </c>
      <c r="G402" s="1055"/>
      <c r="H402" s="1056"/>
      <c r="I402" s="1057" t="str">
        <f>IF(I399="","",I399)</f>
        <v/>
      </c>
      <c r="J402" s="1058"/>
      <c r="K402" s="1059" t="str">
        <f>IF(B$398="","",P17)</f>
        <v/>
      </c>
      <c r="L402" s="1060"/>
      <c r="M402" s="300"/>
      <c r="N402" s="301"/>
      <c r="O402" s="302" t="str">
        <f>IF(B$398="","",IF(I405&lt;1,"－",ROUND(M405/I405,3)))</f>
        <v/>
      </c>
      <c r="P402" s="303"/>
      <c r="Q402" s="1057" t="str">
        <f>IF(Q399="","",Q399)</f>
        <v/>
      </c>
      <c r="R402" s="1058"/>
      <c r="S402" s="1059" t="str">
        <f>IF(B$398="","",P17)</f>
        <v/>
      </c>
      <c r="T402" s="1060"/>
      <c r="U402" s="300"/>
      <c r="V402" s="301"/>
      <c r="W402" s="302" t="str">
        <f>IF(B$398="","",IF(Q405&lt;1,"－",ROUND(U405/Q405,3)))</f>
        <v/>
      </c>
      <c r="X402" s="303"/>
      <c r="Y402" s="1038" t="s">
        <v>171</v>
      </c>
      <c r="Z402" s="1039"/>
      <c r="AA402" s="1040"/>
    </row>
    <row r="403" spans="2:28" s="172" customFormat="1" ht="16.5" customHeight="1" x14ac:dyDescent="0.15">
      <c r="B403" s="348"/>
      <c r="C403" s="1068"/>
      <c r="D403" s="350"/>
      <c r="E403" s="228" t="str">
        <f>IF(B398="","",B398&amp;F403&amp;"その2")</f>
        <v/>
      </c>
      <c r="F403" s="1041" t="str">
        <f>IF(AND($W$165="非該当",$B$398&lt;&gt;""),DATE(YEAR($I$27)-11,MONTH($I$27),DAY($I$27)),"　　　　★")</f>
        <v>　　　　★</v>
      </c>
      <c r="G403" s="1042"/>
      <c r="H403" s="1043"/>
      <c r="I403" s="1044" t="str">
        <f>IF(I400="","",I400)</f>
        <v/>
      </c>
      <c r="J403" s="1045"/>
      <c r="K403" s="1046" t="str">
        <f>IF(B$398="","★の10事業年度後在職者数","事業年度在職者数")</f>
        <v>★の10事業年度後在職者数</v>
      </c>
      <c r="L403" s="1047"/>
      <c r="M403" s="318"/>
      <c r="N403" s="319"/>
      <c r="O403" s="304"/>
      <c r="P403" s="305"/>
      <c r="Q403" s="1044" t="str">
        <f>IF(Q400="","",Q400)</f>
        <v/>
      </c>
      <c r="R403" s="1045"/>
      <c r="S403" s="1046" t="str">
        <f>IF(B$398="","★の10事業年度後在職者数","事業年度在職者数")</f>
        <v>★の10事業年度後在職者数</v>
      </c>
      <c r="T403" s="1047"/>
      <c r="U403" s="318"/>
      <c r="V403" s="319"/>
      <c r="W403" s="304"/>
      <c r="X403" s="305"/>
      <c r="Y403" s="1048" t="str">
        <f>IF(B$398="","",IF(OR(O402="－",W402="－",W402=0),"－",ROUND(O402/W402,2)))</f>
        <v/>
      </c>
      <c r="Z403" s="1049"/>
      <c r="AA403" s="1050"/>
    </row>
    <row r="404" spans="2:28" s="172" customFormat="1" ht="16.5" customHeight="1" x14ac:dyDescent="0.15">
      <c r="B404" s="348"/>
      <c r="C404" s="1068"/>
      <c r="D404" s="350"/>
      <c r="E404" s="233"/>
      <c r="F404" s="1051" t="str">
        <f>IF(AND($W$165="非該当",$B$398&lt;&gt;""),DATE(YEAR($I$27)-12,MONTH($I$27),DAY($I$27)),"")</f>
        <v/>
      </c>
      <c r="G404" s="1052"/>
      <c r="H404" s="1053"/>
      <c r="I404" s="318"/>
      <c r="J404" s="319"/>
      <c r="K404" s="1046"/>
      <c r="L404" s="1047"/>
      <c r="M404" s="318"/>
      <c r="N404" s="319"/>
      <c r="O404" s="304"/>
      <c r="P404" s="305"/>
      <c r="Q404" s="318"/>
      <c r="R404" s="319"/>
      <c r="S404" s="1046"/>
      <c r="T404" s="1047"/>
      <c r="U404" s="318"/>
      <c r="V404" s="319"/>
      <c r="W404" s="304"/>
      <c r="X404" s="305"/>
      <c r="Y404" s="1048"/>
      <c r="Z404" s="1049"/>
      <c r="AA404" s="1050"/>
    </row>
    <row r="405" spans="2:28" s="172" customFormat="1" ht="16.5" customHeight="1" thickBot="1" x14ac:dyDescent="0.2">
      <c r="B405" s="348"/>
      <c r="C405" s="1068"/>
      <c r="D405" s="350"/>
      <c r="E405" s="233"/>
      <c r="F405" s="1033" t="s">
        <v>15</v>
      </c>
      <c r="G405" s="1034"/>
      <c r="H405" s="1035"/>
      <c r="I405" s="1036" t="str">
        <f>IF($B$398="","",SUM(I402:J404))</f>
        <v/>
      </c>
      <c r="J405" s="1037"/>
      <c r="K405" s="261"/>
      <c r="L405" s="262"/>
      <c r="M405" s="1036" t="str">
        <f>IF($B$398="","",SUM(M402:N404))</f>
        <v/>
      </c>
      <c r="N405" s="1037"/>
      <c r="O405" s="306"/>
      <c r="P405" s="307"/>
      <c r="Q405" s="1036" t="str">
        <f>IF($B$398="","",SUM(Q402:R404))</f>
        <v/>
      </c>
      <c r="R405" s="1037"/>
      <c r="S405" s="261"/>
      <c r="T405" s="262"/>
      <c r="U405" s="1036" t="str">
        <f>IF($B$398="","",SUM(U402:V404))</f>
        <v/>
      </c>
      <c r="V405" s="1037"/>
      <c r="W405" s="306"/>
      <c r="X405" s="307"/>
      <c r="Y405" s="1021"/>
      <c r="Z405" s="1022"/>
      <c r="AA405" s="1023"/>
    </row>
    <row r="406" spans="2:28" s="172" customFormat="1" ht="16.5" customHeight="1" x14ac:dyDescent="0.15">
      <c r="B406" s="348"/>
      <c r="C406" s="1068"/>
      <c r="D406" s="350"/>
      <c r="E406" s="233"/>
      <c r="F406" s="1054" t="str">
        <f>IF(AND($W$165="非該当",$B$398&lt;&gt;""),DATE(YEAR($I$27)-11,MONTH($I$27),DAY($I$27)),"")</f>
        <v/>
      </c>
      <c r="G406" s="1055"/>
      <c r="H406" s="1056"/>
      <c r="I406" s="1057" t="str">
        <f>IF(I403="","",I403)</f>
        <v/>
      </c>
      <c r="J406" s="1058"/>
      <c r="K406" s="1059" t="str">
        <f>IF(B$398="","",P18)</f>
        <v/>
      </c>
      <c r="L406" s="1060"/>
      <c r="M406" s="300"/>
      <c r="N406" s="301"/>
      <c r="O406" s="302" t="str">
        <f>IF(B$398="","",IF(I409&lt;1,"－",ROUND(M409/I409,3)))</f>
        <v/>
      </c>
      <c r="P406" s="303"/>
      <c r="Q406" s="1057" t="str">
        <f>IF(Q403="","",Q403)</f>
        <v/>
      </c>
      <c r="R406" s="1058"/>
      <c r="S406" s="1059" t="str">
        <f>IF(B$398="","",P18)</f>
        <v/>
      </c>
      <c r="T406" s="1060"/>
      <c r="U406" s="300"/>
      <c r="V406" s="301"/>
      <c r="W406" s="302" t="str">
        <f>IF(B$398="","",IF(Q409&lt;1,"－",ROUND(U409/Q409,3)))</f>
        <v/>
      </c>
      <c r="X406" s="303"/>
      <c r="Y406" s="1038" t="s">
        <v>172</v>
      </c>
      <c r="Z406" s="1039"/>
      <c r="AA406" s="1040"/>
    </row>
    <row r="407" spans="2:28" s="172" customFormat="1" ht="16.5" customHeight="1" x14ac:dyDescent="0.15">
      <c r="B407" s="348"/>
      <c r="C407" s="1068"/>
      <c r="D407" s="350"/>
      <c r="E407" s="228" t="str">
        <f>IF(B398="","",B398&amp;F407)</f>
        <v/>
      </c>
      <c r="F407" s="1041" t="str">
        <f>IF(AND($W$165="非該当",$B$398&lt;&gt;""),DATE(YEAR($I$27)-12,MONTH($I$27),DAY($I$27)),"　　　　★")</f>
        <v>　　　　★</v>
      </c>
      <c r="G407" s="1042"/>
      <c r="H407" s="1043"/>
      <c r="I407" s="1044" t="str">
        <f>IF(I404="","",I404)</f>
        <v/>
      </c>
      <c r="J407" s="1045"/>
      <c r="K407" s="1046" t="str">
        <f>IF(B$398="","★の10事業年度後在職者数","事業年度在職者数")</f>
        <v>★の10事業年度後在職者数</v>
      </c>
      <c r="L407" s="1047"/>
      <c r="M407" s="318"/>
      <c r="N407" s="319"/>
      <c r="O407" s="304"/>
      <c r="P407" s="305"/>
      <c r="Q407" s="1044" t="str">
        <f>IF(Q404="","",Q404)</f>
        <v/>
      </c>
      <c r="R407" s="1045"/>
      <c r="S407" s="1046" t="str">
        <f>IF(B$398="","★の10事業年度後在職者数","事業年度在職者数")</f>
        <v>★の10事業年度後在職者数</v>
      </c>
      <c r="T407" s="1047"/>
      <c r="U407" s="318"/>
      <c r="V407" s="319"/>
      <c r="W407" s="304"/>
      <c r="X407" s="305"/>
      <c r="Y407" s="1048" t="str">
        <f>IF(B$398="","",IF(OR(O406="－",W406="－",W406=0),"－",ROUND(O406/W406,2)))</f>
        <v/>
      </c>
      <c r="Z407" s="1049"/>
      <c r="AA407" s="1050"/>
    </row>
    <row r="408" spans="2:28" s="172" customFormat="1" ht="16.5" customHeight="1" x14ac:dyDescent="0.15">
      <c r="B408" s="348"/>
      <c r="C408" s="1068"/>
      <c r="D408" s="350"/>
      <c r="E408" s="233"/>
      <c r="F408" s="1051" t="str">
        <f>IF(AND($W$165="非該当",$B$398&lt;&gt;""),DATE(YEAR($I$27)-13,MONTH($I$27),DAY($I$27)),"")</f>
        <v/>
      </c>
      <c r="G408" s="1052"/>
      <c r="H408" s="1053"/>
      <c r="I408" s="318"/>
      <c r="J408" s="319"/>
      <c r="K408" s="1046"/>
      <c r="L408" s="1047"/>
      <c r="M408" s="318"/>
      <c r="N408" s="319"/>
      <c r="O408" s="304"/>
      <c r="P408" s="305"/>
      <c r="Q408" s="318"/>
      <c r="R408" s="319"/>
      <c r="S408" s="1046"/>
      <c r="T408" s="1047"/>
      <c r="U408" s="318"/>
      <c r="V408" s="319"/>
      <c r="W408" s="304"/>
      <c r="X408" s="305"/>
      <c r="Y408" s="1048"/>
      <c r="Z408" s="1049"/>
      <c r="AA408" s="1050"/>
    </row>
    <row r="409" spans="2:28" s="172" customFormat="1" ht="16.5" customHeight="1" thickBot="1" x14ac:dyDescent="0.2">
      <c r="B409" s="348"/>
      <c r="C409" s="1068"/>
      <c r="D409" s="350"/>
      <c r="E409" s="233"/>
      <c r="F409" s="1033" t="s">
        <v>15</v>
      </c>
      <c r="G409" s="1034"/>
      <c r="H409" s="1035"/>
      <c r="I409" s="1036" t="str">
        <f>IF($B$398="","",SUM(I406:J408))</f>
        <v/>
      </c>
      <c r="J409" s="1037"/>
      <c r="K409" s="261"/>
      <c r="L409" s="262"/>
      <c r="M409" s="1036" t="str">
        <f>IF($B$398="","",SUM(M406:N408))</f>
        <v/>
      </c>
      <c r="N409" s="1037"/>
      <c r="O409" s="306"/>
      <c r="P409" s="307"/>
      <c r="Q409" s="1036" t="str">
        <f>IF($B$398="","",SUM(Q406:R408))</f>
        <v/>
      </c>
      <c r="R409" s="1037"/>
      <c r="S409" s="261"/>
      <c r="T409" s="262"/>
      <c r="U409" s="1036" t="str">
        <f>IF($B$398="","",SUM(U406:V408))</f>
        <v/>
      </c>
      <c r="V409" s="1037"/>
      <c r="W409" s="306"/>
      <c r="X409" s="307"/>
      <c r="Y409" s="1021"/>
      <c r="Z409" s="1022"/>
      <c r="AA409" s="1023"/>
    </row>
    <row r="410" spans="2:28" s="172" customFormat="1" ht="16.5" customHeight="1" x14ac:dyDescent="0.15">
      <c r="B410" s="348"/>
      <c r="C410" s="1068"/>
      <c r="D410" s="350"/>
      <c r="E410" s="233"/>
      <c r="F410" s="1054" t="str">
        <f>IF(AND($W$165="非該当",$B$398&lt;&gt;""),DATE(YEAR($I$27)-12,MONTH($I$27),DAY($I$27)),"")</f>
        <v/>
      </c>
      <c r="G410" s="1055"/>
      <c r="H410" s="1056"/>
      <c r="I410" s="1057" t="str">
        <f>IF(I407="","",I407)</f>
        <v/>
      </c>
      <c r="J410" s="1058"/>
      <c r="K410" s="1059" t="str">
        <f>IF(B$398="","",P19)</f>
        <v/>
      </c>
      <c r="L410" s="1060"/>
      <c r="M410" s="300"/>
      <c r="N410" s="301"/>
      <c r="O410" s="302" t="str">
        <f>IF(B$398="","",IF(I413&lt;1,"－",ROUND(M413/I413,3)))</f>
        <v/>
      </c>
      <c r="P410" s="303"/>
      <c r="Q410" s="1057" t="str">
        <f>IF(Q407="","",Q407)</f>
        <v/>
      </c>
      <c r="R410" s="1058"/>
      <c r="S410" s="1059" t="str">
        <f>IF(B$398="","",P19)</f>
        <v/>
      </c>
      <c r="T410" s="1060"/>
      <c r="U410" s="300"/>
      <c r="V410" s="301"/>
      <c r="W410" s="302" t="str">
        <f>IF(B$398="","",IF(Q413&lt;1,"－",ROUND(U413/Q413,3)))</f>
        <v/>
      </c>
      <c r="X410" s="303"/>
      <c r="Y410" s="1038" t="s">
        <v>173</v>
      </c>
      <c r="Z410" s="1039"/>
      <c r="AA410" s="1040"/>
      <c r="AB410" s="264"/>
    </row>
    <row r="411" spans="2:28" s="172" customFormat="1" ht="16.5" customHeight="1" x14ac:dyDescent="0.15">
      <c r="B411" s="348"/>
      <c r="C411" s="1068"/>
      <c r="D411" s="350"/>
      <c r="E411" s="228" t="str">
        <f>IF(B398="","",B398&amp;F411)</f>
        <v/>
      </c>
      <c r="F411" s="1041" t="str">
        <f>IF(AND($W$165="非該当",$B$398&lt;&gt;""),DATE(YEAR($I$27)-13,MONTH($I$27),DAY($I$27)),"　　　　★")</f>
        <v>　　　　★</v>
      </c>
      <c r="G411" s="1042"/>
      <c r="H411" s="1043"/>
      <c r="I411" s="1044" t="str">
        <f>IF(I408="","",I408)</f>
        <v/>
      </c>
      <c r="J411" s="1045"/>
      <c r="K411" s="1046" t="str">
        <f>IF(B$398="","★の10事業年度後在職者数","事業年度在職者数")</f>
        <v>★の10事業年度後在職者数</v>
      </c>
      <c r="L411" s="1047"/>
      <c r="M411" s="318"/>
      <c r="N411" s="319"/>
      <c r="O411" s="304"/>
      <c r="P411" s="305"/>
      <c r="Q411" s="1044" t="str">
        <f>IF(Q408="","",Q408)</f>
        <v/>
      </c>
      <c r="R411" s="1045"/>
      <c r="S411" s="1046" t="str">
        <f>IF(B$398="","★の10事業年度後在職者数","事業年度在職者数")</f>
        <v>★の10事業年度後在職者数</v>
      </c>
      <c r="T411" s="1047"/>
      <c r="U411" s="318"/>
      <c r="V411" s="319"/>
      <c r="W411" s="304"/>
      <c r="X411" s="305"/>
      <c r="Y411" s="1048" t="str">
        <f>IF(B$398="","",IF(OR(O410="－",W410="－",W410=0),"－",ROUND(O410/W410,2)))</f>
        <v/>
      </c>
      <c r="Z411" s="1049"/>
      <c r="AA411" s="1050"/>
      <c r="AB411" s="264"/>
    </row>
    <row r="412" spans="2:28" s="172" customFormat="1" ht="16.5" customHeight="1" x14ac:dyDescent="0.15">
      <c r="B412" s="348"/>
      <c r="C412" s="1068"/>
      <c r="D412" s="350"/>
      <c r="E412" s="233"/>
      <c r="F412" s="1051" t="str">
        <f>IF(AND($W$165="非該当",$B$398&lt;&gt;""),DATE(YEAR($I$27)-14,MONTH($I$27),DAY($I$27)),"")</f>
        <v/>
      </c>
      <c r="G412" s="1052"/>
      <c r="H412" s="1053"/>
      <c r="I412" s="318"/>
      <c r="J412" s="319"/>
      <c r="K412" s="1046"/>
      <c r="L412" s="1047"/>
      <c r="M412" s="318"/>
      <c r="N412" s="319"/>
      <c r="O412" s="304"/>
      <c r="P412" s="305"/>
      <c r="Q412" s="318"/>
      <c r="R412" s="319"/>
      <c r="S412" s="1046"/>
      <c r="T412" s="1047"/>
      <c r="U412" s="318"/>
      <c r="V412" s="319"/>
      <c r="W412" s="304"/>
      <c r="X412" s="305"/>
      <c r="Y412" s="1048"/>
      <c r="Z412" s="1049"/>
      <c r="AA412" s="1050"/>
      <c r="AB412" s="264"/>
    </row>
    <row r="413" spans="2:28" s="172" customFormat="1" ht="16.5" customHeight="1" thickBot="1" x14ac:dyDescent="0.2">
      <c r="B413" s="348"/>
      <c r="C413" s="1068"/>
      <c r="D413" s="350"/>
      <c r="E413" s="233"/>
      <c r="F413" s="1033" t="s">
        <v>15</v>
      </c>
      <c r="G413" s="1034"/>
      <c r="H413" s="1035"/>
      <c r="I413" s="1036" t="str">
        <f>IF($B$398="","",SUM(I410:J412))</f>
        <v/>
      </c>
      <c r="J413" s="1037"/>
      <c r="K413" s="261"/>
      <c r="L413" s="262"/>
      <c r="M413" s="1036" t="str">
        <f>IF($B$398="","",SUM(M410:N412))</f>
        <v/>
      </c>
      <c r="N413" s="1037"/>
      <c r="O413" s="306"/>
      <c r="P413" s="307"/>
      <c r="Q413" s="1036" t="str">
        <f>IF($B$398="","",SUM(Q410:R412))</f>
        <v/>
      </c>
      <c r="R413" s="1037"/>
      <c r="S413" s="261"/>
      <c r="T413" s="262"/>
      <c r="U413" s="1036" t="str">
        <f>IF($B$398="","",SUM(U410:V412))</f>
        <v/>
      </c>
      <c r="V413" s="1037"/>
      <c r="W413" s="306"/>
      <c r="X413" s="307"/>
      <c r="Y413" s="1021"/>
      <c r="Z413" s="1022"/>
      <c r="AA413" s="1023"/>
      <c r="AB413" s="264"/>
    </row>
    <row r="414" spans="2:28" s="172" customFormat="1" ht="16.5" customHeight="1" x14ac:dyDescent="0.15">
      <c r="B414" s="348"/>
      <c r="C414" s="1068"/>
      <c r="D414" s="350"/>
      <c r="E414" s="233"/>
      <c r="F414" s="1054" t="str">
        <f>IF(AND($W$165="非該当",$B$398&lt;&gt;""),DATE(YEAR($I$27)-13,MONTH($I$27),DAY($I$27)),"")</f>
        <v/>
      </c>
      <c r="G414" s="1055"/>
      <c r="H414" s="1056"/>
      <c r="I414" s="1057" t="str">
        <f>IF(I411="","",I411)</f>
        <v/>
      </c>
      <c r="J414" s="1058"/>
      <c r="K414" s="1059" t="str">
        <f>IF(B$398="","",P20)</f>
        <v/>
      </c>
      <c r="L414" s="1060"/>
      <c r="M414" s="300"/>
      <c r="N414" s="301"/>
      <c r="O414" s="302" t="str">
        <f>IF(B$398="","",IF(I417&lt;1,"－",ROUND(M417/I417,3)))</f>
        <v/>
      </c>
      <c r="P414" s="303"/>
      <c r="Q414" s="1057" t="str">
        <f>IF(Q411="","",Q411)</f>
        <v/>
      </c>
      <c r="R414" s="1058"/>
      <c r="S414" s="1059" t="str">
        <f>IF(B$398="","",P20)</f>
        <v/>
      </c>
      <c r="T414" s="1060"/>
      <c r="U414" s="300"/>
      <c r="V414" s="301"/>
      <c r="W414" s="302" t="str">
        <f>IF(B$398="","",IF(Q417&lt;1,"－",ROUND(U417/Q417,3)))</f>
        <v/>
      </c>
      <c r="X414" s="303"/>
      <c r="Y414" s="1038" t="s">
        <v>174</v>
      </c>
      <c r="Z414" s="1039"/>
      <c r="AA414" s="1040"/>
    </row>
    <row r="415" spans="2:28" s="172" customFormat="1" ht="16.5" customHeight="1" x14ac:dyDescent="0.15">
      <c r="B415" s="348"/>
      <c r="C415" s="1068"/>
      <c r="D415" s="350"/>
      <c r="E415" s="228" t="str">
        <f>IF(B398="","",B398&amp;F415)</f>
        <v/>
      </c>
      <c r="F415" s="1041" t="str">
        <f>IF(AND($W$165="非該当",$B$398&lt;&gt;""),DATE(YEAR($I$27)-14,MONTH($I$27),DAY($I$27)),"　　　　★")</f>
        <v>　　　　★</v>
      </c>
      <c r="G415" s="1042"/>
      <c r="H415" s="1043"/>
      <c r="I415" s="1044" t="str">
        <f>IF(I412="","",I412)</f>
        <v/>
      </c>
      <c r="J415" s="1045"/>
      <c r="K415" s="1046" t="str">
        <f>IF(B$398="","★の10事業年度後在職者数","事業年度在職者数")</f>
        <v>★の10事業年度後在職者数</v>
      </c>
      <c r="L415" s="1047"/>
      <c r="M415" s="318"/>
      <c r="N415" s="319"/>
      <c r="O415" s="304"/>
      <c r="P415" s="305"/>
      <c r="Q415" s="1044" t="str">
        <f>IF(Q412="","",Q412)</f>
        <v/>
      </c>
      <c r="R415" s="1045"/>
      <c r="S415" s="1046" t="str">
        <f>IF(B$398="","★の10事業年度後在職者数","事業年度在職者数")</f>
        <v>★の10事業年度後在職者数</v>
      </c>
      <c r="T415" s="1047"/>
      <c r="U415" s="318"/>
      <c r="V415" s="319"/>
      <c r="W415" s="304"/>
      <c r="X415" s="305"/>
      <c r="Y415" s="1048" t="str">
        <f>IF(B$398="","",IF(OR(O414="－",W414="－",W414=0),"－",ROUND(O414/W414,2)))</f>
        <v/>
      </c>
      <c r="Z415" s="1049"/>
      <c r="AA415" s="1050"/>
    </row>
    <row r="416" spans="2:28" s="172" customFormat="1" ht="16.5" customHeight="1" x14ac:dyDescent="0.15">
      <c r="B416" s="348"/>
      <c r="C416" s="1068"/>
      <c r="D416" s="350"/>
      <c r="E416" s="233"/>
      <c r="F416" s="1051" t="str">
        <f>IF(AND($W$165="非該当",$B$398&lt;&gt;""),DATE(YEAR($I$27)-15,MONTH($I$27),DAY($I$27)),"")</f>
        <v/>
      </c>
      <c r="G416" s="1052"/>
      <c r="H416" s="1053"/>
      <c r="I416" s="318"/>
      <c r="J416" s="319"/>
      <c r="K416" s="1046"/>
      <c r="L416" s="1047"/>
      <c r="M416" s="318"/>
      <c r="N416" s="319"/>
      <c r="O416" s="304"/>
      <c r="P416" s="305"/>
      <c r="Q416" s="318"/>
      <c r="R416" s="319"/>
      <c r="S416" s="1046"/>
      <c r="T416" s="1047"/>
      <c r="U416" s="318"/>
      <c r="V416" s="319"/>
      <c r="W416" s="304"/>
      <c r="X416" s="305"/>
      <c r="Y416" s="1048"/>
      <c r="Z416" s="1049"/>
      <c r="AA416" s="1050"/>
    </row>
    <row r="417" spans="2:27" s="172" customFormat="1" ht="16.5" customHeight="1" thickBot="1" x14ac:dyDescent="0.2">
      <c r="B417" s="348"/>
      <c r="C417" s="1068"/>
      <c r="D417" s="350"/>
      <c r="E417" s="233"/>
      <c r="F417" s="1033" t="s">
        <v>15</v>
      </c>
      <c r="G417" s="1034"/>
      <c r="H417" s="1035"/>
      <c r="I417" s="1036" t="str">
        <f>IF($B$398="","",SUM(I414:J416))</f>
        <v/>
      </c>
      <c r="J417" s="1037"/>
      <c r="K417" s="261"/>
      <c r="L417" s="262"/>
      <c r="M417" s="1036" t="str">
        <f>IF($B$398="","",SUM(M414:N416))</f>
        <v/>
      </c>
      <c r="N417" s="1037"/>
      <c r="O417" s="306"/>
      <c r="P417" s="307"/>
      <c r="Q417" s="1036" t="str">
        <f>IF($B$398="","",SUM(Q414:R416))</f>
        <v/>
      </c>
      <c r="R417" s="1037"/>
      <c r="S417" s="261"/>
      <c r="T417" s="262"/>
      <c r="U417" s="1036" t="str">
        <f>IF($B$398="","",SUM(U414:V416))</f>
        <v/>
      </c>
      <c r="V417" s="1037"/>
      <c r="W417" s="306"/>
      <c r="X417" s="307"/>
      <c r="Y417" s="1021"/>
      <c r="Z417" s="1022"/>
      <c r="AA417" s="1023"/>
    </row>
    <row r="418" spans="2:27" s="172" customFormat="1" ht="16.5" customHeight="1" x14ac:dyDescent="0.15">
      <c r="B418" s="348"/>
      <c r="C418" s="1068"/>
      <c r="D418" s="350"/>
      <c r="E418" s="228" t="str">
        <f>B398&amp;1</f>
        <v>1</v>
      </c>
      <c r="F418" s="265" t="str">
        <f>IF(F408=""," 9～13年前採用者の３事業年度ごと継続雇用割合男女比の平均（ア～ウの平均）",S15&amp;"～"&amp;T19&amp;"採用者の３事業年度ごと継続雇用割合男女比の平均（ア～ウの平均）")</f>
        <v xml:space="preserve"> 9～13年前採用者の３事業年度ごと継続雇用割合男女比の平均（ア～ウの平均）</v>
      </c>
      <c r="G418" s="266"/>
      <c r="H418" s="266"/>
      <c r="I418" s="266"/>
      <c r="J418" s="266"/>
      <c r="K418" s="266"/>
      <c r="L418" s="266"/>
      <c r="M418" s="266"/>
      <c r="N418" s="266"/>
      <c r="O418" s="266"/>
      <c r="P418" s="266"/>
      <c r="Q418" s="266"/>
      <c r="R418" s="266"/>
      <c r="S418" s="266"/>
      <c r="T418" s="266"/>
      <c r="U418" s="266"/>
      <c r="V418" s="266"/>
      <c r="W418" s="266"/>
      <c r="X418" s="267"/>
      <c r="Y418" s="1024" t="str">
        <f>IF(B398="","",IF(OR(Y399="－",Y403="－",Y407="－"),"算出不能",ROUND(AVERAGE(Y399,Y403,Y407),3)))</f>
        <v/>
      </c>
      <c r="Z418" s="1025"/>
      <c r="AA418" s="1026"/>
    </row>
    <row r="419" spans="2:27" s="172" customFormat="1" ht="16.5" customHeight="1" x14ac:dyDescent="0.15">
      <c r="B419" s="348"/>
      <c r="C419" s="1068"/>
      <c r="D419" s="350"/>
      <c r="E419" s="228" t="str">
        <f>B398&amp;2</f>
        <v>2</v>
      </c>
      <c r="F419" s="268" t="str">
        <f>IF(F412="","10～14年前採用者の　　　　　　　　〃　　　　　　　　　　（イ～エの平均）",S16&amp;"～"&amp;T20&amp;"採用者の　　　　　　　　〃　　　　　　　　　　（イ～エの平均）")</f>
        <v>10～14年前採用者の　　　　　　　　〃　　　　　　　　　　（イ～エの平均）</v>
      </c>
      <c r="G419" s="269"/>
      <c r="H419" s="269"/>
      <c r="I419" s="269"/>
      <c r="J419" s="269"/>
      <c r="K419" s="269"/>
      <c r="L419" s="269"/>
      <c r="M419" s="269"/>
      <c r="N419" s="269"/>
      <c r="O419" s="270"/>
      <c r="P419" s="270"/>
      <c r="Q419" s="270"/>
      <c r="R419" s="270"/>
      <c r="S419" s="269"/>
      <c r="T419" s="269"/>
      <c r="U419" s="269"/>
      <c r="V419" s="269"/>
      <c r="W419" s="269"/>
      <c r="X419" s="271"/>
      <c r="Y419" s="1027" t="str">
        <f>IF(B398="","",IF(OR(Y403="－",Y407="－",Y411="－"),"算出不能",ROUND(AVERAGE(Y403,Y407,Y411),3)))</f>
        <v/>
      </c>
      <c r="Z419" s="1028"/>
      <c r="AA419" s="1029"/>
    </row>
    <row r="420" spans="2:27" ht="16.5" customHeight="1" thickBot="1" x14ac:dyDescent="0.2">
      <c r="B420" s="351"/>
      <c r="C420" s="352"/>
      <c r="D420" s="353"/>
      <c r="E420" s="228" t="str">
        <f>B398&amp;3</f>
        <v>3</v>
      </c>
      <c r="F420" s="272" t="str">
        <f>IF(F416="","11～15年前採用者の　　　　　　　　〃　　　　　　　　　　（ウ～オの平均）",S17&amp;"～"&amp;T21&amp;"採用者の　　　　　　　　〃　　　　　　　　　　（ウ～オの平均）")</f>
        <v>11～15年前採用者の　　　　　　　　〃　　　　　　　　　　（ウ～オの平均）</v>
      </c>
      <c r="G420" s="273"/>
      <c r="H420" s="273"/>
      <c r="I420" s="273"/>
      <c r="J420" s="273"/>
      <c r="K420" s="273"/>
      <c r="L420" s="273"/>
      <c r="M420" s="273"/>
      <c r="N420" s="273"/>
      <c r="O420" s="273"/>
      <c r="P420" s="273"/>
      <c r="Q420" s="273"/>
      <c r="R420" s="273"/>
      <c r="S420" s="273"/>
      <c r="T420" s="273"/>
      <c r="U420" s="274"/>
      <c r="V420" s="273"/>
      <c r="W420" s="274"/>
      <c r="X420" s="275"/>
      <c r="Y420" s="1030" t="str">
        <f>IF(B398="","",IF(OR(Y407="－",Y411="－",Y415="－"),"算出不能",ROUND(AVERAGE(Y407,Y411,Y415),3)))</f>
        <v/>
      </c>
      <c r="Z420" s="1031"/>
      <c r="AA420" s="1032"/>
    </row>
    <row r="422" spans="2:27" ht="17.25" customHeight="1" x14ac:dyDescent="0.15"/>
    <row r="423" spans="2:27" ht="17.25" customHeight="1" x14ac:dyDescent="0.15"/>
    <row r="424" spans="2:27" ht="17.25" customHeight="1" x14ac:dyDescent="0.15"/>
    <row r="425" spans="2:27" ht="17.25" customHeight="1" x14ac:dyDescent="0.15"/>
    <row r="426" spans="2:27" ht="17.25" customHeight="1" x14ac:dyDescent="0.15"/>
    <row r="427" spans="2:27" ht="17.25" customHeight="1" x14ac:dyDescent="0.15"/>
    <row r="428" spans="2:27" ht="17.25" customHeight="1" x14ac:dyDescent="0.15"/>
    <row r="429" spans="2:27" ht="17.25" customHeight="1" x14ac:dyDescent="0.15"/>
    <row r="430" spans="2:27" ht="17.25" customHeight="1" x14ac:dyDescent="0.15"/>
    <row r="431" spans="2:27" ht="17.25" customHeight="1" x14ac:dyDescent="0.15"/>
    <row r="432" spans="2:27" ht="17.25" customHeight="1" x14ac:dyDescent="0.15"/>
    <row r="433" ht="17.25" customHeight="1" x14ac:dyDescent="0.15"/>
    <row r="434" ht="17.25" customHeight="1" x14ac:dyDescent="0.15"/>
    <row r="435" ht="17.25" customHeight="1" x14ac:dyDescent="0.15"/>
    <row r="436" ht="17.25" customHeight="1" x14ac:dyDescent="0.15"/>
    <row r="437" ht="17.25" customHeight="1" x14ac:dyDescent="0.15"/>
    <row r="438" ht="17.25" customHeight="1" x14ac:dyDescent="0.15"/>
    <row r="439" ht="17.25" customHeight="1" x14ac:dyDescent="0.15"/>
    <row r="440" ht="17.25" customHeight="1" x14ac:dyDescent="0.15"/>
    <row r="441" ht="17.25" customHeight="1" x14ac:dyDescent="0.15"/>
    <row r="442" ht="17.25" customHeight="1" x14ac:dyDescent="0.15"/>
    <row r="443" ht="17.25" customHeight="1" x14ac:dyDescent="0.15"/>
    <row r="444" ht="17.25" customHeight="1" x14ac:dyDescent="0.15"/>
    <row r="445" ht="17.25" customHeight="1" x14ac:dyDescent="0.15"/>
    <row r="446" ht="17.25" customHeight="1" x14ac:dyDescent="0.15"/>
    <row r="447" ht="17.25" customHeight="1" x14ac:dyDescent="0.15"/>
    <row r="448" ht="17.25" customHeight="1" x14ac:dyDescent="0.15"/>
    <row r="449" ht="17.25" customHeight="1" x14ac:dyDescent="0.15"/>
    <row r="450" ht="17.25" customHeight="1" x14ac:dyDescent="0.15"/>
    <row r="451" ht="17.25" customHeight="1" x14ac:dyDescent="0.15"/>
    <row r="452" ht="17.25" customHeight="1" x14ac:dyDescent="0.15"/>
    <row r="453" ht="17.25" customHeight="1" x14ac:dyDescent="0.15"/>
    <row r="454" ht="19.5" customHeight="1" x14ac:dyDescent="0.15"/>
    <row r="455" ht="19.5" customHeight="1" x14ac:dyDescent="0.15"/>
    <row r="456" ht="19.5" customHeight="1" x14ac:dyDescent="0.15"/>
    <row r="457" ht="19.5" customHeight="1" x14ac:dyDescent="0.15"/>
    <row r="458" ht="19.5" customHeight="1" x14ac:dyDescent="0.15"/>
    <row r="459" ht="19.5" customHeight="1" x14ac:dyDescent="0.15"/>
    <row r="460" ht="19.5" customHeight="1" x14ac:dyDescent="0.15"/>
    <row r="461" ht="19.5" customHeight="1" x14ac:dyDescent="0.15"/>
    <row r="462" ht="19.5" customHeight="1" x14ac:dyDescent="0.15"/>
    <row r="463" ht="19.5" customHeight="1" x14ac:dyDescent="0.15"/>
    <row r="464" ht="19.5" customHeight="1" x14ac:dyDescent="0.15"/>
    <row r="465" ht="19.5" customHeight="1" x14ac:dyDescent="0.15"/>
    <row r="466" ht="19.5" customHeight="1" x14ac:dyDescent="0.15"/>
    <row r="467" ht="19.5" customHeight="1" x14ac:dyDescent="0.15"/>
    <row r="468" ht="19.5" customHeight="1" x14ac:dyDescent="0.15"/>
    <row r="469" ht="19.5" customHeight="1" x14ac:dyDescent="0.15"/>
    <row r="470" ht="19.5" customHeight="1" x14ac:dyDescent="0.15"/>
    <row r="471" ht="19.5" customHeight="1" x14ac:dyDescent="0.15"/>
    <row r="472" ht="19.5" customHeight="1" x14ac:dyDescent="0.15"/>
    <row r="473" ht="19.5" customHeight="1" x14ac:dyDescent="0.15"/>
    <row r="474" ht="19.5" customHeight="1" x14ac:dyDescent="0.15"/>
    <row r="475" ht="19.5" customHeight="1" x14ac:dyDescent="0.15"/>
    <row r="476" ht="19.5" customHeight="1" x14ac:dyDescent="0.15"/>
    <row r="477" ht="19.5" customHeight="1" x14ac:dyDescent="0.15"/>
    <row r="478" ht="19.5" customHeight="1" x14ac:dyDescent="0.15"/>
    <row r="479" ht="19.5" customHeight="1" x14ac:dyDescent="0.15"/>
    <row r="480" ht="19.5" customHeight="1" x14ac:dyDescent="0.15"/>
    <row r="481" ht="19.5" customHeight="1" x14ac:dyDescent="0.15"/>
    <row r="482" ht="19.5" customHeight="1" x14ac:dyDescent="0.15"/>
    <row r="483" ht="19.5" customHeight="1" x14ac:dyDescent="0.15"/>
    <row r="484" ht="19.5" customHeight="1" x14ac:dyDescent="0.15"/>
    <row r="485" ht="19.5" customHeight="1" x14ac:dyDescent="0.15"/>
    <row r="486" ht="19.5" customHeight="1" x14ac:dyDescent="0.15"/>
    <row r="487" ht="19.5" customHeight="1" x14ac:dyDescent="0.15"/>
    <row r="488" ht="19.5" customHeight="1" x14ac:dyDescent="0.15"/>
    <row r="489" ht="19.5" customHeight="1" x14ac:dyDescent="0.15"/>
    <row r="490" ht="19.5" customHeight="1" x14ac:dyDescent="0.15"/>
    <row r="491" ht="19.5" customHeight="1" x14ac:dyDescent="0.15"/>
    <row r="492" ht="19.5" customHeight="1" x14ac:dyDescent="0.15"/>
    <row r="493" ht="19.5" customHeight="1" x14ac:dyDescent="0.15"/>
    <row r="494" ht="19.5" customHeight="1" x14ac:dyDescent="0.15"/>
    <row r="495" ht="19.5" customHeight="1" x14ac:dyDescent="0.15"/>
    <row r="496" ht="19.5" customHeight="1" x14ac:dyDescent="0.15"/>
    <row r="497" ht="19.5" customHeight="1" x14ac:dyDescent="0.15"/>
    <row r="498" ht="19.5" customHeight="1" x14ac:dyDescent="0.15"/>
    <row r="499" ht="19.5" customHeight="1" x14ac:dyDescent="0.15"/>
    <row r="500" ht="19.5" customHeight="1" x14ac:dyDescent="0.15"/>
    <row r="501" ht="19.5" customHeight="1" x14ac:dyDescent="0.15"/>
    <row r="502" ht="19.5" customHeight="1" x14ac:dyDescent="0.15"/>
    <row r="503" ht="19.5" customHeight="1" x14ac:dyDescent="0.15"/>
    <row r="504" ht="19.5" customHeight="1" x14ac:dyDescent="0.15"/>
    <row r="505" ht="19.5" customHeight="1" x14ac:dyDescent="0.15"/>
    <row r="506" ht="19.5" customHeight="1" x14ac:dyDescent="0.15"/>
    <row r="507" ht="19.5" customHeight="1" x14ac:dyDescent="0.15"/>
    <row r="508" ht="19.5" customHeight="1" x14ac:dyDescent="0.15"/>
    <row r="509" ht="19.5" customHeight="1" x14ac:dyDescent="0.15"/>
    <row r="510" ht="19.5" customHeight="1" x14ac:dyDescent="0.15"/>
    <row r="511" ht="19.5" customHeight="1" x14ac:dyDescent="0.15"/>
    <row r="512" ht="19.5" customHeight="1" x14ac:dyDescent="0.15"/>
    <row r="513" ht="19.5" customHeight="1" x14ac:dyDescent="0.15"/>
    <row r="514" ht="19.5" customHeight="1" x14ac:dyDescent="0.15"/>
    <row r="515" ht="19.5" customHeight="1" x14ac:dyDescent="0.15"/>
    <row r="516" ht="19.5" customHeight="1" x14ac:dyDescent="0.15"/>
    <row r="517" ht="19.5" customHeight="1" x14ac:dyDescent="0.15"/>
    <row r="518" ht="19.5" customHeight="1" x14ac:dyDescent="0.15"/>
    <row r="519" ht="19.5" customHeight="1" x14ac:dyDescent="0.15"/>
    <row r="520" ht="19.5" customHeight="1" x14ac:dyDescent="0.15"/>
    <row r="521" ht="19.5" customHeight="1" x14ac:dyDescent="0.15"/>
    <row r="522" ht="19.5" customHeight="1" x14ac:dyDescent="0.15"/>
    <row r="523" ht="19.5" customHeight="1" x14ac:dyDescent="0.15"/>
    <row r="524" ht="19.5" customHeight="1" x14ac:dyDescent="0.15"/>
    <row r="525" ht="19.5" customHeight="1" x14ac:dyDescent="0.15"/>
    <row r="526" ht="19.5" customHeight="1" x14ac:dyDescent="0.15"/>
    <row r="527" ht="19.5" customHeight="1" x14ac:dyDescent="0.15"/>
    <row r="528" ht="19.5" customHeight="1" x14ac:dyDescent="0.15"/>
    <row r="529" ht="19.5" customHeight="1" x14ac:dyDescent="0.15"/>
    <row r="530" ht="19.5" customHeight="1" x14ac:dyDescent="0.15"/>
    <row r="531" ht="19.5" customHeight="1" x14ac:dyDescent="0.15"/>
    <row r="532" ht="19.5" customHeight="1" x14ac:dyDescent="0.15"/>
    <row r="533" ht="19.5" customHeight="1" x14ac:dyDescent="0.15"/>
    <row r="534" ht="19.5" customHeight="1" x14ac:dyDescent="0.15"/>
    <row r="535" ht="19.5" customHeight="1" x14ac:dyDescent="0.15"/>
    <row r="536" ht="19.5" customHeight="1" x14ac:dyDescent="0.15"/>
    <row r="537" ht="19.5" customHeight="1" x14ac:dyDescent="0.15"/>
    <row r="538" ht="19.5" customHeight="1" x14ac:dyDescent="0.15"/>
    <row r="539" ht="19.5" customHeight="1" x14ac:dyDescent="0.15"/>
    <row r="540" ht="19.5" customHeight="1" x14ac:dyDescent="0.15"/>
    <row r="541" ht="19.5" customHeight="1" x14ac:dyDescent="0.15"/>
    <row r="542" ht="19.5" customHeight="1" x14ac:dyDescent="0.15"/>
    <row r="543" ht="19.5" customHeight="1" x14ac:dyDescent="0.15"/>
    <row r="544" ht="19.5" customHeight="1" x14ac:dyDescent="0.15"/>
    <row r="545" ht="19.5" customHeight="1" x14ac:dyDescent="0.15"/>
  </sheetData>
  <sheetProtection sheet="1" objects="1" scenarios="1"/>
  <mergeCells count="1831">
    <mergeCell ref="B23:F23"/>
    <mergeCell ref="G23:Q23"/>
    <mergeCell ref="R23:T24"/>
    <mergeCell ref="U23:V23"/>
    <mergeCell ref="W23:AA23"/>
    <mergeCell ref="B24:F24"/>
    <mergeCell ref="G24:Q24"/>
    <mergeCell ref="U24:V24"/>
    <mergeCell ref="W24:AA24"/>
    <mergeCell ref="B2:AA2"/>
    <mergeCell ref="B4:AA4"/>
    <mergeCell ref="B6:AA6"/>
    <mergeCell ref="T7:Z7"/>
    <mergeCell ref="U20:V21"/>
    <mergeCell ref="W20:AA21"/>
    <mergeCell ref="B27:F27"/>
    <mergeCell ref="G27:H27"/>
    <mergeCell ref="I27:M27"/>
    <mergeCell ref="N27:O27"/>
    <mergeCell ref="P27:T27"/>
    <mergeCell ref="B28:F28"/>
    <mergeCell ref="G28:H28"/>
    <mergeCell ref="I28:M28"/>
    <mergeCell ref="N28:O28"/>
    <mergeCell ref="P28:T28"/>
    <mergeCell ref="B25:F26"/>
    <mergeCell ref="I25:J25"/>
    <mergeCell ref="K25:K26"/>
    <mergeCell ref="L25:M26"/>
    <mergeCell ref="N25:Q25"/>
    <mergeCell ref="R25:AA25"/>
    <mergeCell ref="I26:J26"/>
    <mergeCell ref="N26:Q26"/>
    <mergeCell ref="R26:AA26"/>
    <mergeCell ref="J33:M33"/>
    <mergeCell ref="N33:Q33"/>
    <mergeCell ref="R33:U33"/>
    <mergeCell ref="V33:W33"/>
    <mergeCell ref="X33:Y33"/>
    <mergeCell ref="Z33:AA33"/>
    <mergeCell ref="Z31:AA31"/>
    <mergeCell ref="B32:B34"/>
    <mergeCell ref="C32:H32"/>
    <mergeCell ref="J32:M32"/>
    <mergeCell ref="N32:Q32"/>
    <mergeCell ref="R32:U32"/>
    <mergeCell ref="V32:W32"/>
    <mergeCell ref="X32:Y32"/>
    <mergeCell ref="Z32:AA32"/>
    <mergeCell ref="C33:H33"/>
    <mergeCell ref="U28:V28"/>
    <mergeCell ref="W28:AA28"/>
    <mergeCell ref="B30:H30"/>
    <mergeCell ref="I30:M30"/>
    <mergeCell ref="B31:H31"/>
    <mergeCell ref="J31:M31"/>
    <mergeCell ref="N31:Q31"/>
    <mergeCell ref="R31:U31"/>
    <mergeCell ref="V31:W31"/>
    <mergeCell ref="X31:Y31"/>
    <mergeCell ref="Z36:AA36"/>
    <mergeCell ref="C37:H37"/>
    <mergeCell ref="J37:M37"/>
    <mergeCell ref="N37:Q37"/>
    <mergeCell ref="R37:U37"/>
    <mergeCell ref="V37:W37"/>
    <mergeCell ref="X37:Y37"/>
    <mergeCell ref="Z37:AA37"/>
    <mergeCell ref="C36:H36"/>
    <mergeCell ref="J36:M36"/>
    <mergeCell ref="N36:Q36"/>
    <mergeCell ref="R36:U36"/>
    <mergeCell ref="V36:W36"/>
    <mergeCell ref="X36:Y36"/>
    <mergeCell ref="Z34:AA34"/>
    <mergeCell ref="B35:B37"/>
    <mergeCell ref="C35:H35"/>
    <mergeCell ref="I35:I37"/>
    <mergeCell ref="J35:M35"/>
    <mergeCell ref="N35:Q35"/>
    <mergeCell ref="R35:U35"/>
    <mergeCell ref="V35:W35"/>
    <mergeCell ref="X35:Y35"/>
    <mergeCell ref="Z35:AA35"/>
    <mergeCell ref="C34:H34"/>
    <mergeCell ref="J34:M34"/>
    <mergeCell ref="N34:Q34"/>
    <mergeCell ref="R34:U34"/>
    <mergeCell ref="V34:W34"/>
    <mergeCell ref="X34:Y34"/>
    <mergeCell ref="B46:AA46"/>
    <mergeCell ref="B47:AA47"/>
    <mergeCell ref="B48:AA48"/>
    <mergeCell ref="B49:AA49"/>
    <mergeCell ref="H53:Q53"/>
    <mergeCell ref="R53:Y53"/>
    <mergeCell ref="Z53:AA54"/>
    <mergeCell ref="B54:D54"/>
    <mergeCell ref="F54:G54"/>
    <mergeCell ref="H54:I54"/>
    <mergeCell ref="B41:F41"/>
    <mergeCell ref="G41:H41"/>
    <mergeCell ref="I41:M41"/>
    <mergeCell ref="N41:O41"/>
    <mergeCell ref="P41:AA41"/>
    <mergeCell ref="B45:AA45"/>
    <mergeCell ref="B38:AA38"/>
    <mergeCell ref="B40:F40"/>
    <mergeCell ref="G40:H40"/>
    <mergeCell ref="I40:M40"/>
    <mergeCell ref="N40:O40"/>
    <mergeCell ref="P40:T40"/>
    <mergeCell ref="U40:V40"/>
    <mergeCell ref="W40:AA40"/>
    <mergeCell ref="T55:U55"/>
    <mergeCell ref="V55:W55"/>
    <mergeCell ref="X55:Y57"/>
    <mergeCell ref="Z55:AA57"/>
    <mergeCell ref="F56:G56"/>
    <mergeCell ref="H56:I56"/>
    <mergeCell ref="J56:K56"/>
    <mergeCell ref="L56:M56"/>
    <mergeCell ref="R56:S56"/>
    <mergeCell ref="T56:U56"/>
    <mergeCell ref="V54:W54"/>
    <mergeCell ref="X54:Y54"/>
    <mergeCell ref="B55:D57"/>
    <mergeCell ref="F55:G55"/>
    <mergeCell ref="H55:I55"/>
    <mergeCell ref="J55:K55"/>
    <mergeCell ref="L55:M55"/>
    <mergeCell ref="N55:O57"/>
    <mergeCell ref="P55:Q57"/>
    <mergeCell ref="R55:S55"/>
    <mergeCell ref="J54:K54"/>
    <mergeCell ref="L54:M54"/>
    <mergeCell ref="N54:O54"/>
    <mergeCell ref="P54:Q54"/>
    <mergeCell ref="R54:S54"/>
    <mergeCell ref="T54:U54"/>
    <mergeCell ref="B58:D60"/>
    <mergeCell ref="F58:G58"/>
    <mergeCell ref="H58:I58"/>
    <mergeCell ref="J58:K58"/>
    <mergeCell ref="L58:M58"/>
    <mergeCell ref="N58:O60"/>
    <mergeCell ref="F59:G59"/>
    <mergeCell ref="H59:I59"/>
    <mergeCell ref="J59:K59"/>
    <mergeCell ref="L59:M59"/>
    <mergeCell ref="V56:W56"/>
    <mergeCell ref="F57:G57"/>
    <mergeCell ref="H57:I57"/>
    <mergeCell ref="J57:K57"/>
    <mergeCell ref="L57:M57"/>
    <mergeCell ref="R57:S57"/>
    <mergeCell ref="T57:U57"/>
    <mergeCell ref="V57:W57"/>
    <mergeCell ref="L62:M62"/>
    <mergeCell ref="F60:G60"/>
    <mergeCell ref="H60:I60"/>
    <mergeCell ref="J60:K60"/>
    <mergeCell ref="L60:M60"/>
    <mergeCell ref="R60:S60"/>
    <mergeCell ref="T60:U60"/>
    <mergeCell ref="P58:Q60"/>
    <mergeCell ref="R58:S58"/>
    <mergeCell ref="T58:U58"/>
    <mergeCell ref="V58:W58"/>
    <mergeCell ref="X58:Y60"/>
    <mergeCell ref="Z58:AA60"/>
    <mergeCell ref="R59:S59"/>
    <mergeCell ref="T59:U59"/>
    <mergeCell ref="V59:W59"/>
    <mergeCell ref="V60:W60"/>
    <mergeCell ref="F64:W64"/>
    <mergeCell ref="X64:AA64"/>
    <mergeCell ref="B66:AA66"/>
    <mergeCell ref="C67:AA67"/>
    <mergeCell ref="H68:K68"/>
    <mergeCell ref="L68:O68"/>
    <mergeCell ref="P68:Y68"/>
    <mergeCell ref="F63:G63"/>
    <mergeCell ref="H63:I63"/>
    <mergeCell ref="J63:K63"/>
    <mergeCell ref="L63:M63"/>
    <mergeCell ref="R63:S63"/>
    <mergeCell ref="T63:U63"/>
    <mergeCell ref="P61:Q63"/>
    <mergeCell ref="R61:S61"/>
    <mergeCell ref="T61:U61"/>
    <mergeCell ref="V61:W61"/>
    <mergeCell ref="X61:Y63"/>
    <mergeCell ref="Z61:AA63"/>
    <mergeCell ref="R62:S62"/>
    <mergeCell ref="T62:U62"/>
    <mergeCell ref="V62:W62"/>
    <mergeCell ref="V63:W63"/>
    <mergeCell ref="B61:D63"/>
    <mergeCell ref="F61:G61"/>
    <mergeCell ref="H61:I61"/>
    <mergeCell ref="J61:K61"/>
    <mergeCell ref="L61:M61"/>
    <mergeCell ref="N61:O63"/>
    <mergeCell ref="F62:G62"/>
    <mergeCell ref="H62:I62"/>
    <mergeCell ref="J62:K62"/>
    <mergeCell ref="T70:U70"/>
    <mergeCell ref="V70:W70"/>
    <mergeCell ref="X70:Y70"/>
    <mergeCell ref="F71:G71"/>
    <mergeCell ref="H71:I71"/>
    <mergeCell ref="J71:K71"/>
    <mergeCell ref="L71:M71"/>
    <mergeCell ref="N71:O71"/>
    <mergeCell ref="P71:S71"/>
    <mergeCell ref="T71:U71"/>
    <mergeCell ref="T69:U69"/>
    <mergeCell ref="V69:W69"/>
    <mergeCell ref="X69:Y69"/>
    <mergeCell ref="B70:D74"/>
    <mergeCell ref="F70:G70"/>
    <mergeCell ref="H70:I70"/>
    <mergeCell ref="J70:K70"/>
    <mergeCell ref="L70:M70"/>
    <mergeCell ref="N70:O70"/>
    <mergeCell ref="P70:S70"/>
    <mergeCell ref="B69:D69"/>
    <mergeCell ref="F69:G69"/>
    <mergeCell ref="H69:I69"/>
    <mergeCell ref="J69:K69"/>
    <mergeCell ref="L69:M69"/>
    <mergeCell ref="N69:O69"/>
    <mergeCell ref="F74:G74"/>
    <mergeCell ref="H74:I74"/>
    <mergeCell ref="J74:K74"/>
    <mergeCell ref="L74:M74"/>
    <mergeCell ref="N74:O74"/>
    <mergeCell ref="B75:D79"/>
    <mergeCell ref="F75:G75"/>
    <mergeCell ref="H75:I75"/>
    <mergeCell ref="J75:K75"/>
    <mergeCell ref="L75:M75"/>
    <mergeCell ref="X72:Y72"/>
    <mergeCell ref="F73:G73"/>
    <mergeCell ref="H73:I73"/>
    <mergeCell ref="J73:K73"/>
    <mergeCell ref="L73:M73"/>
    <mergeCell ref="N73:O73"/>
    <mergeCell ref="V71:W71"/>
    <mergeCell ref="X71:Y71"/>
    <mergeCell ref="F72:G72"/>
    <mergeCell ref="H72:I72"/>
    <mergeCell ref="J72:K72"/>
    <mergeCell ref="L72:M72"/>
    <mergeCell ref="N72:O72"/>
    <mergeCell ref="P72:S72"/>
    <mergeCell ref="T72:U72"/>
    <mergeCell ref="V72:W72"/>
    <mergeCell ref="P76:S76"/>
    <mergeCell ref="T76:U76"/>
    <mergeCell ref="V76:W76"/>
    <mergeCell ref="X76:Y76"/>
    <mergeCell ref="F77:G77"/>
    <mergeCell ref="H77:I77"/>
    <mergeCell ref="J77:K77"/>
    <mergeCell ref="L77:M77"/>
    <mergeCell ref="N77:O77"/>
    <mergeCell ref="P77:S77"/>
    <mergeCell ref="N75:O75"/>
    <mergeCell ref="P75:S75"/>
    <mergeCell ref="T75:U75"/>
    <mergeCell ref="V75:W75"/>
    <mergeCell ref="X75:Y75"/>
    <mergeCell ref="F76:G76"/>
    <mergeCell ref="H76:I76"/>
    <mergeCell ref="J76:K76"/>
    <mergeCell ref="L76:M76"/>
    <mergeCell ref="N76:O76"/>
    <mergeCell ref="F79:G79"/>
    <mergeCell ref="H79:I79"/>
    <mergeCell ref="J79:K79"/>
    <mergeCell ref="L79:M79"/>
    <mergeCell ref="N79:O79"/>
    <mergeCell ref="B80:D84"/>
    <mergeCell ref="F80:G80"/>
    <mergeCell ref="H80:I80"/>
    <mergeCell ref="J80:K80"/>
    <mergeCell ref="L80:M80"/>
    <mergeCell ref="T77:U77"/>
    <mergeCell ref="V77:W77"/>
    <mergeCell ref="X77:Y77"/>
    <mergeCell ref="F78:G78"/>
    <mergeCell ref="H78:I78"/>
    <mergeCell ref="J78:K78"/>
    <mergeCell ref="L78:M78"/>
    <mergeCell ref="N78:O78"/>
    <mergeCell ref="P81:S81"/>
    <mergeCell ref="T81:U81"/>
    <mergeCell ref="V81:W81"/>
    <mergeCell ref="X81:Y81"/>
    <mergeCell ref="F82:G82"/>
    <mergeCell ref="H82:I82"/>
    <mergeCell ref="J82:K82"/>
    <mergeCell ref="L82:M82"/>
    <mergeCell ref="N82:O82"/>
    <mergeCell ref="P82:S82"/>
    <mergeCell ref="N80:O80"/>
    <mergeCell ref="P80:S80"/>
    <mergeCell ref="T80:U80"/>
    <mergeCell ref="V80:W80"/>
    <mergeCell ref="X80:Y80"/>
    <mergeCell ref="F81:G81"/>
    <mergeCell ref="H81:I81"/>
    <mergeCell ref="J81:K81"/>
    <mergeCell ref="L81:M81"/>
    <mergeCell ref="N81:O81"/>
    <mergeCell ref="F84:G84"/>
    <mergeCell ref="H84:I84"/>
    <mergeCell ref="J84:K84"/>
    <mergeCell ref="L84:M84"/>
    <mergeCell ref="N84:O84"/>
    <mergeCell ref="B90:D90"/>
    <mergeCell ref="F90:H90"/>
    <mergeCell ref="I90:K90"/>
    <mergeCell ref="L90:N90"/>
    <mergeCell ref="O90:Q90"/>
    <mergeCell ref="T82:U82"/>
    <mergeCell ref="V82:W82"/>
    <mergeCell ref="X82:Y82"/>
    <mergeCell ref="F83:G83"/>
    <mergeCell ref="H83:I83"/>
    <mergeCell ref="J83:K83"/>
    <mergeCell ref="L83:M83"/>
    <mergeCell ref="N83:O83"/>
    <mergeCell ref="Z91:AA92"/>
    <mergeCell ref="U92:Y92"/>
    <mergeCell ref="B95:D95"/>
    <mergeCell ref="F95:H95"/>
    <mergeCell ref="I95:K95"/>
    <mergeCell ref="L95:N95"/>
    <mergeCell ref="O95:Q95"/>
    <mergeCell ref="R95:T95"/>
    <mergeCell ref="R90:T90"/>
    <mergeCell ref="U90:Y90"/>
    <mergeCell ref="Z90:AA90"/>
    <mergeCell ref="B91:D92"/>
    <mergeCell ref="F91:H92"/>
    <mergeCell ref="I91:K92"/>
    <mergeCell ref="L91:N92"/>
    <mergeCell ref="O91:Q92"/>
    <mergeCell ref="R91:T92"/>
    <mergeCell ref="U91:Y91"/>
    <mergeCell ref="U98:X98"/>
    <mergeCell ref="Y98:AA98"/>
    <mergeCell ref="B99:D99"/>
    <mergeCell ref="F99:H99"/>
    <mergeCell ref="I99:K99"/>
    <mergeCell ref="L99:N99"/>
    <mergeCell ref="O99:Q99"/>
    <mergeCell ref="R99:T99"/>
    <mergeCell ref="U99:X99"/>
    <mergeCell ref="Y99:AA99"/>
    <mergeCell ref="B98:D98"/>
    <mergeCell ref="F98:H98"/>
    <mergeCell ref="I98:K98"/>
    <mergeCell ref="L98:N98"/>
    <mergeCell ref="O98:Q98"/>
    <mergeCell ref="R98:T98"/>
    <mergeCell ref="U96:AA96"/>
    <mergeCell ref="B97:D97"/>
    <mergeCell ref="F97:H97"/>
    <mergeCell ref="I97:K97"/>
    <mergeCell ref="L97:N97"/>
    <mergeCell ref="O97:Q97"/>
    <mergeCell ref="R97:T97"/>
    <mergeCell ref="U97:X97"/>
    <mergeCell ref="Y97:AA97"/>
    <mergeCell ref="B96:D96"/>
    <mergeCell ref="F96:H96"/>
    <mergeCell ref="I96:K96"/>
    <mergeCell ref="L96:N96"/>
    <mergeCell ref="O96:Q96"/>
    <mergeCell ref="R96:T96"/>
    <mergeCell ref="U106:Y106"/>
    <mergeCell ref="B109:D109"/>
    <mergeCell ref="F109:H109"/>
    <mergeCell ref="I109:K109"/>
    <mergeCell ref="L109:N109"/>
    <mergeCell ref="O109:Q109"/>
    <mergeCell ref="R109:T109"/>
    <mergeCell ref="U104:Y104"/>
    <mergeCell ref="Z104:AA104"/>
    <mergeCell ref="B105:D106"/>
    <mergeCell ref="F105:H106"/>
    <mergeCell ref="I105:K106"/>
    <mergeCell ref="L105:N106"/>
    <mergeCell ref="O105:Q106"/>
    <mergeCell ref="R105:T106"/>
    <mergeCell ref="U105:Y105"/>
    <mergeCell ref="Z105:AA106"/>
    <mergeCell ref="B104:D104"/>
    <mergeCell ref="F104:H104"/>
    <mergeCell ref="I104:K104"/>
    <mergeCell ref="L104:N104"/>
    <mergeCell ref="O104:Q104"/>
    <mergeCell ref="R104:T104"/>
    <mergeCell ref="U110:AA110"/>
    <mergeCell ref="F111:H111"/>
    <mergeCell ref="I111:K111"/>
    <mergeCell ref="L111:N111"/>
    <mergeCell ref="O111:Q111"/>
    <mergeCell ref="R111:T111"/>
    <mergeCell ref="U111:X111"/>
    <mergeCell ref="Y111:AA111"/>
    <mergeCell ref="B110:D113"/>
    <mergeCell ref="F110:H110"/>
    <mergeCell ref="I110:K110"/>
    <mergeCell ref="L110:N110"/>
    <mergeCell ref="O110:Q110"/>
    <mergeCell ref="R110:T110"/>
    <mergeCell ref="F112:H112"/>
    <mergeCell ref="I112:K112"/>
    <mergeCell ref="L112:N112"/>
    <mergeCell ref="O112:Q112"/>
    <mergeCell ref="B125:D125"/>
    <mergeCell ref="F125:H125"/>
    <mergeCell ref="I125:L125"/>
    <mergeCell ref="M125:P125"/>
    <mergeCell ref="Q125:T125"/>
    <mergeCell ref="U125:X125"/>
    <mergeCell ref="B116:AA116"/>
    <mergeCell ref="B117:AA117"/>
    <mergeCell ref="B118:AA118"/>
    <mergeCell ref="B119:AA119"/>
    <mergeCell ref="B120:AA120"/>
    <mergeCell ref="C124:AA124"/>
    <mergeCell ref="R112:T112"/>
    <mergeCell ref="U112:X112"/>
    <mergeCell ref="Y112:AA112"/>
    <mergeCell ref="F113:H113"/>
    <mergeCell ref="I113:K113"/>
    <mergeCell ref="L113:N113"/>
    <mergeCell ref="O113:Q113"/>
    <mergeCell ref="R113:T113"/>
    <mergeCell ref="U113:X113"/>
    <mergeCell ref="Y113:AA113"/>
    <mergeCell ref="F129:T129"/>
    <mergeCell ref="U129:X129"/>
    <mergeCell ref="C132:AA132"/>
    <mergeCell ref="B133:D133"/>
    <mergeCell ref="F133:H133"/>
    <mergeCell ref="I133:L133"/>
    <mergeCell ref="M133:P133"/>
    <mergeCell ref="Q133:T133"/>
    <mergeCell ref="U127:X127"/>
    <mergeCell ref="F128:H128"/>
    <mergeCell ref="I128:L128"/>
    <mergeCell ref="M128:P128"/>
    <mergeCell ref="Q128:T128"/>
    <mergeCell ref="U128:X128"/>
    <mergeCell ref="B126:D128"/>
    <mergeCell ref="F126:H126"/>
    <mergeCell ref="I126:L126"/>
    <mergeCell ref="M126:P126"/>
    <mergeCell ref="Q126:T126"/>
    <mergeCell ref="U126:X126"/>
    <mergeCell ref="F127:H127"/>
    <mergeCell ref="I127:L127"/>
    <mergeCell ref="M127:P127"/>
    <mergeCell ref="Q127:T127"/>
    <mergeCell ref="W137:Y137"/>
    <mergeCell ref="Z137:AA137"/>
    <mergeCell ref="F138:H138"/>
    <mergeCell ref="I138:L138"/>
    <mergeCell ref="M138:P138"/>
    <mergeCell ref="Q138:T138"/>
    <mergeCell ref="U138:V138"/>
    <mergeCell ref="W138:Y138"/>
    <mergeCell ref="Z138:AA138"/>
    <mergeCell ref="I136:L136"/>
    <mergeCell ref="M136:P136"/>
    <mergeCell ref="Q136:T136"/>
    <mergeCell ref="U136:AA136"/>
    <mergeCell ref="B137:D139"/>
    <mergeCell ref="F137:H137"/>
    <mergeCell ref="I137:L137"/>
    <mergeCell ref="M137:P137"/>
    <mergeCell ref="Q137:T137"/>
    <mergeCell ref="U137:V137"/>
    <mergeCell ref="B134:D136"/>
    <mergeCell ref="F134:H134"/>
    <mergeCell ref="I134:L134"/>
    <mergeCell ref="M134:P134"/>
    <mergeCell ref="Q134:T134"/>
    <mergeCell ref="F135:H135"/>
    <mergeCell ref="I135:L135"/>
    <mergeCell ref="M135:P135"/>
    <mergeCell ref="Q135:T135"/>
    <mergeCell ref="F136:H136"/>
    <mergeCell ref="I141:L141"/>
    <mergeCell ref="M141:P141"/>
    <mergeCell ref="Q141:T141"/>
    <mergeCell ref="U141:V141"/>
    <mergeCell ref="W141:Y141"/>
    <mergeCell ref="Z141:AA141"/>
    <mergeCell ref="Z139:AA139"/>
    <mergeCell ref="B140:D142"/>
    <mergeCell ref="F140:H140"/>
    <mergeCell ref="I140:L140"/>
    <mergeCell ref="M140:P140"/>
    <mergeCell ref="Q140:T140"/>
    <mergeCell ref="U140:V140"/>
    <mergeCell ref="W140:Y140"/>
    <mergeCell ref="Z140:AA140"/>
    <mergeCell ref="F141:H141"/>
    <mergeCell ref="F139:H139"/>
    <mergeCell ref="I139:L139"/>
    <mergeCell ref="M139:P139"/>
    <mergeCell ref="Q139:T139"/>
    <mergeCell ref="U139:V139"/>
    <mergeCell ref="W139:Y139"/>
    <mergeCell ref="I144:L144"/>
    <mergeCell ref="M144:P144"/>
    <mergeCell ref="Q144:T144"/>
    <mergeCell ref="U144:V144"/>
    <mergeCell ref="W144:Y144"/>
    <mergeCell ref="Z144:AA144"/>
    <mergeCell ref="Z142:AA142"/>
    <mergeCell ref="B143:D145"/>
    <mergeCell ref="F143:H143"/>
    <mergeCell ref="I143:L143"/>
    <mergeCell ref="M143:P143"/>
    <mergeCell ref="Q143:T143"/>
    <mergeCell ref="U143:V143"/>
    <mergeCell ref="W143:Y143"/>
    <mergeCell ref="Z143:AA143"/>
    <mergeCell ref="F144:H144"/>
    <mergeCell ref="F142:H142"/>
    <mergeCell ref="I142:L142"/>
    <mergeCell ref="M142:P142"/>
    <mergeCell ref="Q142:T142"/>
    <mergeCell ref="U142:V142"/>
    <mergeCell ref="W142:Y142"/>
    <mergeCell ref="R152:T152"/>
    <mergeCell ref="U152:V152"/>
    <mergeCell ref="W152:Y152"/>
    <mergeCell ref="Z152:AA152"/>
    <mergeCell ref="B153:D156"/>
    <mergeCell ref="F153:H153"/>
    <mergeCell ref="I153:J153"/>
    <mergeCell ref="K153:M153"/>
    <mergeCell ref="N153:O156"/>
    <mergeCell ref="P153:Q153"/>
    <mergeCell ref="Z145:AA145"/>
    <mergeCell ref="C150:AA150"/>
    <mergeCell ref="I151:O151"/>
    <mergeCell ref="P151:V151"/>
    <mergeCell ref="B152:D152"/>
    <mergeCell ref="F152:H152"/>
    <mergeCell ref="I152:J152"/>
    <mergeCell ref="K152:M152"/>
    <mergeCell ref="N152:O152"/>
    <mergeCell ref="P152:Q152"/>
    <mergeCell ref="F145:H145"/>
    <mergeCell ref="I145:L145"/>
    <mergeCell ref="M145:P145"/>
    <mergeCell ref="Q145:T145"/>
    <mergeCell ref="U145:V145"/>
    <mergeCell ref="W145:Y145"/>
    <mergeCell ref="F155:H155"/>
    <mergeCell ref="I155:J155"/>
    <mergeCell ref="K155:M155"/>
    <mergeCell ref="P155:Q155"/>
    <mergeCell ref="R155:T155"/>
    <mergeCell ref="F156:H156"/>
    <mergeCell ref="I156:J156"/>
    <mergeCell ref="K156:M156"/>
    <mergeCell ref="P156:Q156"/>
    <mergeCell ref="R156:T156"/>
    <mergeCell ref="R153:T153"/>
    <mergeCell ref="U153:V156"/>
    <mergeCell ref="W153:Y153"/>
    <mergeCell ref="Z153:AA156"/>
    <mergeCell ref="F154:H154"/>
    <mergeCell ref="I154:J154"/>
    <mergeCell ref="K154:M154"/>
    <mergeCell ref="P154:Q154"/>
    <mergeCell ref="R154:T154"/>
    <mergeCell ref="W154:Y155"/>
    <mergeCell ref="Z157:AA160"/>
    <mergeCell ref="F158:H158"/>
    <mergeCell ref="I158:J158"/>
    <mergeCell ref="K158:M158"/>
    <mergeCell ref="P158:Q158"/>
    <mergeCell ref="R158:T158"/>
    <mergeCell ref="W158:Y159"/>
    <mergeCell ref="F159:H159"/>
    <mergeCell ref="I159:J159"/>
    <mergeCell ref="K159:M159"/>
    <mergeCell ref="W156:Y156"/>
    <mergeCell ref="B157:D160"/>
    <mergeCell ref="F157:H157"/>
    <mergeCell ref="I157:J157"/>
    <mergeCell ref="K157:M157"/>
    <mergeCell ref="N157:O160"/>
    <mergeCell ref="P157:Q157"/>
    <mergeCell ref="R157:T157"/>
    <mergeCell ref="U157:V160"/>
    <mergeCell ref="W157:Y157"/>
    <mergeCell ref="W160:Y160"/>
    <mergeCell ref="B161:D164"/>
    <mergeCell ref="F161:H161"/>
    <mergeCell ref="I161:J161"/>
    <mergeCell ref="K161:M161"/>
    <mergeCell ref="N161:O164"/>
    <mergeCell ref="P161:Q161"/>
    <mergeCell ref="R161:T161"/>
    <mergeCell ref="U161:V164"/>
    <mergeCell ref="W161:Y161"/>
    <mergeCell ref="P159:Q159"/>
    <mergeCell ref="R159:T159"/>
    <mergeCell ref="F160:H160"/>
    <mergeCell ref="I160:J160"/>
    <mergeCell ref="K160:M160"/>
    <mergeCell ref="P160:Q160"/>
    <mergeCell ref="R160:T160"/>
    <mergeCell ref="W164:Y164"/>
    <mergeCell ref="F165:V165"/>
    <mergeCell ref="W165:AA165"/>
    <mergeCell ref="C168:AA168"/>
    <mergeCell ref="B169:D169"/>
    <mergeCell ref="F169:X169"/>
    <mergeCell ref="Y169:AA169"/>
    <mergeCell ref="P163:Q163"/>
    <mergeCell ref="R163:T163"/>
    <mergeCell ref="F164:H164"/>
    <mergeCell ref="I164:J164"/>
    <mergeCell ref="K164:M164"/>
    <mergeCell ref="P164:Q164"/>
    <mergeCell ref="R164:T164"/>
    <mergeCell ref="Z161:AA164"/>
    <mergeCell ref="F162:H162"/>
    <mergeCell ref="I162:J162"/>
    <mergeCell ref="K162:M162"/>
    <mergeCell ref="P162:Q162"/>
    <mergeCell ref="R162:T162"/>
    <mergeCell ref="W162:Y163"/>
    <mergeCell ref="F163:H163"/>
    <mergeCell ref="I163:J163"/>
    <mergeCell ref="K163:M163"/>
    <mergeCell ref="Y174:AA174"/>
    <mergeCell ref="F175:H177"/>
    <mergeCell ref="I175:X175"/>
    <mergeCell ref="Y175:AA175"/>
    <mergeCell ref="I176:X176"/>
    <mergeCell ref="Y176:AA176"/>
    <mergeCell ref="I177:X177"/>
    <mergeCell ref="Y177:AA177"/>
    <mergeCell ref="B170:D177"/>
    <mergeCell ref="F170:X170"/>
    <mergeCell ref="Y170:AA170"/>
    <mergeCell ref="F171:X171"/>
    <mergeCell ref="Y171:AA171"/>
    <mergeCell ref="F172:X172"/>
    <mergeCell ref="Y172:AA172"/>
    <mergeCell ref="F173:X173"/>
    <mergeCell ref="Y173:AA173"/>
    <mergeCell ref="F174:X174"/>
    <mergeCell ref="F190:X190"/>
    <mergeCell ref="Y182:AA182"/>
    <mergeCell ref="F183:H185"/>
    <mergeCell ref="I183:X183"/>
    <mergeCell ref="Y183:AA183"/>
    <mergeCell ref="I184:X184"/>
    <mergeCell ref="Y184:AA184"/>
    <mergeCell ref="I185:X185"/>
    <mergeCell ref="Y185:AA185"/>
    <mergeCell ref="B178:D185"/>
    <mergeCell ref="F178:X178"/>
    <mergeCell ref="Y178:AA178"/>
    <mergeCell ref="F179:X179"/>
    <mergeCell ref="Y179:AA179"/>
    <mergeCell ref="F180:X180"/>
    <mergeCell ref="Y180:AA180"/>
    <mergeCell ref="F181:X181"/>
    <mergeCell ref="Y181:AA181"/>
    <mergeCell ref="F182:X182"/>
    <mergeCell ref="T199:AA200"/>
    <mergeCell ref="L200:Q200"/>
    <mergeCell ref="B203:F203"/>
    <mergeCell ref="G203:K203"/>
    <mergeCell ref="B204:F204"/>
    <mergeCell ref="G204:K204"/>
    <mergeCell ref="L204:S204"/>
    <mergeCell ref="B198:F198"/>
    <mergeCell ref="G198:K198"/>
    <mergeCell ref="L198:Q198"/>
    <mergeCell ref="R198:S198"/>
    <mergeCell ref="B199:F200"/>
    <mergeCell ref="G199:K200"/>
    <mergeCell ref="L199:Q199"/>
    <mergeCell ref="R199:S200"/>
    <mergeCell ref="Y190:AA190"/>
    <mergeCell ref="F191:H193"/>
    <mergeCell ref="I191:X191"/>
    <mergeCell ref="Y191:AA191"/>
    <mergeCell ref="I192:X192"/>
    <mergeCell ref="Y192:AA192"/>
    <mergeCell ref="I193:X193"/>
    <mergeCell ref="Y193:AA193"/>
    <mergeCell ref="B186:D193"/>
    <mergeCell ref="F186:X186"/>
    <mergeCell ref="Y186:AA186"/>
    <mergeCell ref="F187:X187"/>
    <mergeCell ref="Y187:AA187"/>
    <mergeCell ref="F188:X188"/>
    <mergeCell ref="Y188:AA188"/>
    <mergeCell ref="F189:X189"/>
    <mergeCell ref="Y189:AA189"/>
    <mergeCell ref="B212:AA212"/>
    <mergeCell ref="B213:AA213"/>
    <mergeCell ref="B214:AA214"/>
    <mergeCell ref="B218:D218"/>
    <mergeCell ref="F218:H218"/>
    <mergeCell ref="I218:K218"/>
    <mergeCell ref="L218:M218"/>
    <mergeCell ref="N218:O218"/>
    <mergeCell ref="P218:R218"/>
    <mergeCell ref="S218:U218"/>
    <mergeCell ref="B207:F207"/>
    <mergeCell ref="G207:K207"/>
    <mergeCell ref="L207:O207"/>
    <mergeCell ref="P207:S207"/>
    <mergeCell ref="B210:AA210"/>
    <mergeCell ref="B211:AA211"/>
    <mergeCell ref="B205:F205"/>
    <mergeCell ref="G205:K205"/>
    <mergeCell ref="L205:O205"/>
    <mergeCell ref="P205:S205"/>
    <mergeCell ref="B206:F206"/>
    <mergeCell ref="G206:K206"/>
    <mergeCell ref="L206:O206"/>
    <mergeCell ref="P206:S206"/>
    <mergeCell ref="V219:W219"/>
    <mergeCell ref="X219:Y219"/>
    <mergeCell ref="Z219:AA224"/>
    <mergeCell ref="F220:H220"/>
    <mergeCell ref="I220:K220"/>
    <mergeCell ref="L220:M220"/>
    <mergeCell ref="N220:O220"/>
    <mergeCell ref="P220:R220"/>
    <mergeCell ref="S220:U220"/>
    <mergeCell ref="V220:W220"/>
    <mergeCell ref="V218:W218"/>
    <mergeCell ref="X218:Y218"/>
    <mergeCell ref="Z218:AA218"/>
    <mergeCell ref="B219:D224"/>
    <mergeCell ref="F219:H219"/>
    <mergeCell ref="I219:K219"/>
    <mergeCell ref="L219:M219"/>
    <mergeCell ref="N219:O219"/>
    <mergeCell ref="P219:R219"/>
    <mergeCell ref="S219:U219"/>
    <mergeCell ref="V222:W222"/>
    <mergeCell ref="X222:Y222"/>
    <mergeCell ref="F223:H223"/>
    <mergeCell ref="I223:K223"/>
    <mergeCell ref="L223:M223"/>
    <mergeCell ref="N223:O223"/>
    <mergeCell ref="P223:R223"/>
    <mergeCell ref="S223:U223"/>
    <mergeCell ref="V223:W223"/>
    <mergeCell ref="X223:Y223"/>
    <mergeCell ref="F222:H222"/>
    <mergeCell ref="I222:K222"/>
    <mergeCell ref="L222:M222"/>
    <mergeCell ref="N222:O222"/>
    <mergeCell ref="P222:R222"/>
    <mergeCell ref="S222:U222"/>
    <mergeCell ref="X220:Y220"/>
    <mergeCell ref="F221:H221"/>
    <mergeCell ref="I221:K221"/>
    <mergeCell ref="L221:M221"/>
    <mergeCell ref="N221:O221"/>
    <mergeCell ref="P221:R221"/>
    <mergeCell ref="S221:U221"/>
    <mergeCell ref="V221:W221"/>
    <mergeCell ref="X221:Y221"/>
    <mergeCell ref="X225:Y225"/>
    <mergeCell ref="Z225:AA230"/>
    <mergeCell ref="F226:H226"/>
    <mergeCell ref="I226:K226"/>
    <mergeCell ref="L226:M226"/>
    <mergeCell ref="N226:O226"/>
    <mergeCell ref="P226:R226"/>
    <mergeCell ref="S226:U226"/>
    <mergeCell ref="V226:W226"/>
    <mergeCell ref="X226:Y226"/>
    <mergeCell ref="V224:W224"/>
    <mergeCell ref="X224:Y224"/>
    <mergeCell ref="B225:D230"/>
    <mergeCell ref="F225:H225"/>
    <mergeCell ref="I225:K225"/>
    <mergeCell ref="L225:M225"/>
    <mergeCell ref="N225:O225"/>
    <mergeCell ref="P225:R225"/>
    <mergeCell ref="S225:U225"/>
    <mergeCell ref="V225:W225"/>
    <mergeCell ref="F224:H224"/>
    <mergeCell ref="I224:K224"/>
    <mergeCell ref="L224:M224"/>
    <mergeCell ref="N224:O224"/>
    <mergeCell ref="P224:R224"/>
    <mergeCell ref="S224:U224"/>
    <mergeCell ref="V229:W229"/>
    <mergeCell ref="X229:Y229"/>
    <mergeCell ref="F230:H230"/>
    <mergeCell ref="I230:K230"/>
    <mergeCell ref="L230:M230"/>
    <mergeCell ref="N230:O230"/>
    <mergeCell ref="P230:R230"/>
    <mergeCell ref="S230:U230"/>
    <mergeCell ref="V230:W230"/>
    <mergeCell ref="X230:Y230"/>
    <mergeCell ref="F229:H229"/>
    <mergeCell ref="I229:K229"/>
    <mergeCell ref="L229:M229"/>
    <mergeCell ref="N229:O229"/>
    <mergeCell ref="P229:R229"/>
    <mergeCell ref="S229:U229"/>
    <mergeCell ref="V227:W227"/>
    <mergeCell ref="X227:Y227"/>
    <mergeCell ref="F228:H228"/>
    <mergeCell ref="I228:K228"/>
    <mergeCell ref="L228:M228"/>
    <mergeCell ref="N228:O228"/>
    <mergeCell ref="P228:R228"/>
    <mergeCell ref="S228:U228"/>
    <mergeCell ref="V228:W228"/>
    <mergeCell ref="X228:Y228"/>
    <mergeCell ref="F227:H227"/>
    <mergeCell ref="I227:K227"/>
    <mergeCell ref="L227:M227"/>
    <mergeCell ref="N227:O227"/>
    <mergeCell ref="P227:R227"/>
    <mergeCell ref="S227:U227"/>
    <mergeCell ref="S231:U231"/>
    <mergeCell ref="V231:W231"/>
    <mergeCell ref="X231:Y231"/>
    <mergeCell ref="Z231:AA236"/>
    <mergeCell ref="F232:H232"/>
    <mergeCell ref="I232:K232"/>
    <mergeCell ref="L232:M232"/>
    <mergeCell ref="N232:O232"/>
    <mergeCell ref="P232:R232"/>
    <mergeCell ref="S232:U232"/>
    <mergeCell ref="B231:D236"/>
    <mergeCell ref="F231:H231"/>
    <mergeCell ref="I231:K231"/>
    <mergeCell ref="L231:M231"/>
    <mergeCell ref="N231:O231"/>
    <mergeCell ref="P231:R231"/>
    <mergeCell ref="F234:H234"/>
    <mergeCell ref="I234:K234"/>
    <mergeCell ref="L234:M234"/>
    <mergeCell ref="N234:O234"/>
    <mergeCell ref="P234:R234"/>
    <mergeCell ref="S234:U234"/>
    <mergeCell ref="V234:W234"/>
    <mergeCell ref="X234:Y234"/>
    <mergeCell ref="F235:H235"/>
    <mergeCell ref="I235:K235"/>
    <mergeCell ref="L235:M235"/>
    <mergeCell ref="N235:O235"/>
    <mergeCell ref="P235:R235"/>
    <mergeCell ref="S235:U235"/>
    <mergeCell ref="V232:W232"/>
    <mergeCell ref="X232:Y232"/>
    <mergeCell ref="F233:H233"/>
    <mergeCell ref="I233:K233"/>
    <mergeCell ref="L233:M233"/>
    <mergeCell ref="N233:O233"/>
    <mergeCell ref="P233:R233"/>
    <mergeCell ref="S233:U233"/>
    <mergeCell ref="V233:W233"/>
    <mergeCell ref="X233:Y233"/>
    <mergeCell ref="F237:W237"/>
    <mergeCell ref="X237:AA237"/>
    <mergeCell ref="B239:AA239"/>
    <mergeCell ref="B245:D245"/>
    <mergeCell ref="F245:H245"/>
    <mergeCell ref="I245:K245"/>
    <mergeCell ref="L245:M245"/>
    <mergeCell ref="N245:O245"/>
    <mergeCell ref="P245:R245"/>
    <mergeCell ref="S245:U245"/>
    <mergeCell ref="V235:W235"/>
    <mergeCell ref="X235:Y235"/>
    <mergeCell ref="F236:H236"/>
    <mergeCell ref="I236:K236"/>
    <mergeCell ref="L236:M236"/>
    <mergeCell ref="N236:O236"/>
    <mergeCell ref="P236:R236"/>
    <mergeCell ref="S236:U236"/>
    <mergeCell ref="V236:W236"/>
    <mergeCell ref="X236:Y236"/>
    <mergeCell ref="V246:W246"/>
    <mergeCell ref="X246:Y246"/>
    <mergeCell ref="Z246:AA251"/>
    <mergeCell ref="F247:H247"/>
    <mergeCell ref="I247:K247"/>
    <mergeCell ref="L247:M247"/>
    <mergeCell ref="N247:O247"/>
    <mergeCell ref="P247:R247"/>
    <mergeCell ref="S247:U247"/>
    <mergeCell ref="V247:W247"/>
    <mergeCell ref="V245:W245"/>
    <mergeCell ref="X245:Y245"/>
    <mergeCell ref="Z245:AA245"/>
    <mergeCell ref="B246:D251"/>
    <mergeCell ref="F246:H246"/>
    <mergeCell ref="I246:K246"/>
    <mergeCell ref="L246:M246"/>
    <mergeCell ref="N246:O246"/>
    <mergeCell ref="P246:R246"/>
    <mergeCell ref="S246:U246"/>
    <mergeCell ref="V249:W249"/>
    <mergeCell ref="X249:Y249"/>
    <mergeCell ref="F250:H250"/>
    <mergeCell ref="I250:K250"/>
    <mergeCell ref="L250:M250"/>
    <mergeCell ref="N250:O250"/>
    <mergeCell ref="P250:R250"/>
    <mergeCell ref="S250:U250"/>
    <mergeCell ref="V250:W250"/>
    <mergeCell ref="X250:Y250"/>
    <mergeCell ref="F249:H249"/>
    <mergeCell ref="I249:K249"/>
    <mergeCell ref="L249:M249"/>
    <mergeCell ref="N249:O249"/>
    <mergeCell ref="P249:R249"/>
    <mergeCell ref="S249:U249"/>
    <mergeCell ref="X247:Y247"/>
    <mergeCell ref="F248:H248"/>
    <mergeCell ref="I248:K248"/>
    <mergeCell ref="L248:M248"/>
    <mergeCell ref="N248:O248"/>
    <mergeCell ref="P248:R248"/>
    <mergeCell ref="S248:U248"/>
    <mergeCell ref="V248:W248"/>
    <mergeCell ref="X248:Y248"/>
    <mergeCell ref="Z252:AA257"/>
    <mergeCell ref="F253:H253"/>
    <mergeCell ref="I253:K253"/>
    <mergeCell ref="L253:M253"/>
    <mergeCell ref="N253:O253"/>
    <mergeCell ref="P253:R253"/>
    <mergeCell ref="S253:U253"/>
    <mergeCell ref="V253:W253"/>
    <mergeCell ref="X253:Y253"/>
    <mergeCell ref="V251:W251"/>
    <mergeCell ref="X251:Y251"/>
    <mergeCell ref="B252:D257"/>
    <mergeCell ref="F252:H252"/>
    <mergeCell ref="I252:K252"/>
    <mergeCell ref="L252:M252"/>
    <mergeCell ref="N252:O252"/>
    <mergeCell ref="P252:R252"/>
    <mergeCell ref="S252:U252"/>
    <mergeCell ref="V252:W252"/>
    <mergeCell ref="F251:H251"/>
    <mergeCell ref="I251:K251"/>
    <mergeCell ref="L251:M251"/>
    <mergeCell ref="N251:O251"/>
    <mergeCell ref="P251:R251"/>
    <mergeCell ref="S251:U251"/>
    <mergeCell ref="V254:W254"/>
    <mergeCell ref="X254:Y254"/>
    <mergeCell ref="F255:H255"/>
    <mergeCell ref="I255:K255"/>
    <mergeCell ref="L255:M255"/>
    <mergeCell ref="N255:O255"/>
    <mergeCell ref="P255:R255"/>
    <mergeCell ref="S255:U255"/>
    <mergeCell ref="V255:W255"/>
    <mergeCell ref="X255:Y255"/>
    <mergeCell ref="F254:H254"/>
    <mergeCell ref="I254:K254"/>
    <mergeCell ref="L254:M254"/>
    <mergeCell ref="N254:O254"/>
    <mergeCell ref="P254:R254"/>
    <mergeCell ref="S254:U254"/>
    <mergeCell ref="X252:Y252"/>
    <mergeCell ref="B258:D263"/>
    <mergeCell ref="F258:H258"/>
    <mergeCell ref="I258:K258"/>
    <mergeCell ref="L258:M258"/>
    <mergeCell ref="N258:O258"/>
    <mergeCell ref="P258:R258"/>
    <mergeCell ref="F261:H261"/>
    <mergeCell ref="I261:K261"/>
    <mergeCell ref="L261:M261"/>
    <mergeCell ref="N261:O261"/>
    <mergeCell ref="V256:W256"/>
    <mergeCell ref="X256:Y256"/>
    <mergeCell ref="F257:H257"/>
    <mergeCell ref="I257:K257"/>
    <mergeCell ref="L257:M257"/>
    <mergeCell ref="N257:O257"/>
    <mergeCell ref="P257:R257"/>
    <mergeCell ref="S257:U257"/>
    <mergeCell ref="V257:W257"/>
    <mergeCell ref="X257:Y257"/>
    <mergeCell ref="F256:H256"/>
    <mergeCell ref="I256:K256"/>
    <mergeCell ref="L256:M256"/>
    <mergeCell ref="N256:O256"/>
    <mergeCell ref="P256:R256"/>
    <mergeCell ref="S256:U256"/>
    <mergeCell ref="V259:W259"/>
    <mergeCell ref="X259:Y259"/>
    <mergeCell ref="F260:H260"/>
    <mergeCell ref="I260:K260"/>
    <mergeCell ref="L260:M260"/>
    <mergeCell ref="N260:O260"/>
    <mergeCell ref="P260:R260"/>
    <mergeCell ref="S260:U260"/>
    <mergeCell ref="V260:W260"/>
    <mergeCell ref="X260:Y260"/>
    <mergeCell ref="S258:U258"/>
    <mergeCell ref="V258:W258"/>
    <mergeCell ref="X258:Y258"/>
    <mergeCell ref="Z258:AA263"/>
    <mergeCell ref="F259:H259"/>
    <mergeCell ref="I259:K259"/>
    <mergeCell ref="L259:M259"/>
    <mergeCell ref="N259:O259"/>
    <mergeCell ref="P259:R259"/>
    <mergeCell ref="S259:U259"/>
    <mergeCell ref="V262:W262"/>
    <mergeCell ref="X262:Y262"/>
    <mergeCell ref="F263:H263"/>
    <mergeCell ref="I263:K263"/>
    <mergeCell ref="L263:M263"/>
    <mergeCell ref="N263:O263"/>
    <mergeCell ref="P263:R263"/>
    <mergeCell ref="S263:U263"/>
    <mergeCell ref="V263:W263"/>
    <mergeCell ref="X263:Y263"/>
    <mergeCell ref="P261:R261"/>
    <mergeCell ref="S261:U261"/>
    <mergeCell ref="V261:W261"/>
    <mergeCell ref="X261:Y261"/>
    <mergeCell ref="F262:H262"/>
    <mergeCell ref="I262:K262"/>
    <mergeCell ref="L262:M262"/>
    <mergeCell ref="N262:O262"/>
    <mergeCell ref="P262:R262"/>
    <mergeCell ref="S262:U262"/>
    <mergeCell ref="B270:D272"/>
    <mergeCell ref="F270:H270"/>
    <mergeCell ref="I270:L270"/>
    <mergeCell ref="M270:P270"/>
    <mergeCell ref="F271:H271"/>
    <mergeCell ref="I271:L271"/>
    <mergeCell ref="M271:P271"/>
    <mergeCell ref="F272:H272"/>
    <mergeCell ref="I272:L272"/>
    <mergeCell ref="M272:P272"/>
    <mergeCell ref="F264:W264"/>
    <mergeCell ref="X264:AA264"/>
    <mergeCell ref="C268:AA268"/>
    <mergeCell ref="B269:D269"/>
    <mergeCell ref="F269:H269"/>
    <mergeCell ref="I269:L269"/>
    <mergeCell ref="M269:P269"/>
    <mergeCell ref="I277:L277"/>
    <mergeCell ref="M277:P277"/>
    <mergeCell ref="Q277:R277"/>
    <mergeCell ref="S277:U277"/>
    <mergeCell ref="V277:X277"/>
    <mergeCell ref="Y277:AA277"/>
    <mergeCell ref="Q275:AA275"/>
    <mergeCell ref="B276:D278"/>
    <mergeCell ref="F276:H276"/>
    <mergeCell ref="I276:L276"/>
    <mergeCell ref="M276:P276"/>
    <mergeCell ref="Q276:R276"/>
    <mergeCell ref="S276:U276"/>
    <mergeCell ref="V276:X276"/>
    <mergeCell ref="Y276:AA276"/>
    <mergeCell ref="F277:H277"/>
    <mergeCell ref="B273:D275"/>
    <mergeCell ref="F273:H273"/>
    <mergeCell ref="I273:L273"/>
    <mergeCell ref="M273:P273"/>
    <mergeCell ref="F274:H274"/>
    <mergeCell ref="I274:L274"/>
    <mergeCell ref="M274:P274"/>
    <mergeCell ref="F275:H275"/>
    <mergeCell ref="I275:L275"/>
    <mergeCell ref="M275:P275"/>
    <mergeCell ref="I280:L280"/>
    <mergeCell ref="M280:P280"/>
    <mergeCell ref="Q280:R280"/>
    <mergeCell ref="S280:U280"/>
    <mergeCell ref="V280:X280"/>
    <mergeCell ref="Y280:AA280"/>
    <mergeCell ref="Y278:AA278"/>
    <mergeCell ref="B279:D281"/>
    <mergeCell ref="F279:H279"/>
    <mergeCell ref="I279:L279"/>
    <mergeCell ref="M279:P279"/>
    <mergeCell ref="Q279:R279"/>
    <mergeCell ref="S279:U279"/>
    <mergeCell ref="V279:X279"/>
    <mergeCell ref="Y279:AA279"/>
    <mergeCell ref="F280:H280"/>
    <mergeCell ref="F278:H278"/>
    <mergeCell ref="I278:L278"/>
    <mergeCell ref="M278:P278"/>
    <mergeCell ref="Q278:R278"/>
    <mergeCell ref="S278:U278"/>
    <mergeCell ref="V278:X278"/>
    <mergeCell ref="I283:L283"/>
    <mergeCell ref="M283:P283"/>
    <mergeCell ref="Q283:R283"/>
    <mergeCell ref="S283:U283"/>
    <mergeCell ref="V283:X283"/>
    <mergeCell ref="Y283:AA283"/>
    <mergeCell ref="Y281:AA281"/>
    <mergeCell ref="B282:D284"/>
    <mergeCell ref="F282:H282"/>
    <mergeCell ref="I282:L282"/>
    <mergeCell ref="M282:P282"/>
    <mergeCell ref="Q282:R282"/>
    <mergeCell ref="S282:U282"/>
    <mergeCell ref="V282:X282"/>
    <mergeCell ref="Y282:AA282"/>
    <mergeCell ref="F283:H283"/>
    <mergeCell ref="F281:H281"/>
    <mergeCell ref="I281:L281"/>
    <mergeCell ref="M281:P281"/>
    <mergeCell ref="Q281:R281"/>
    <mergeCell ref="S281:U281"/>
    <mergeCell ref="V281:X281"/>
    <mergeCell ref="R293:W293"/>
    <mergeCell ref="X293:Y293"/>
    <mergeCell ref="B294:D295"/>
    <mergeCell ref="F294:H295"/>
    <mergeCell ref="I294:K295"/>
    <mergeCell ref="L294:N295"/>
    <mergeCell ref="O294:Q295"/>
    <mergeCell ref="R294:W294"/>
    <mergeCell ref="X294:Y295"/>
    <mergeCell ref="R295:W295"/>
    <mergeCell ref="Y284:AA284"/>
    <mergeCell ref="B287:AA287"/>
    <mergeCell ref="B288:AA288"/>
    <mergeCell ref="B289:AA289"/>
    <mergeCell ref="B290:AA290"/>
    <mergeCell ref="B293:D293"/>
    <mergeCell ref="F293:H293"/>
    <mergeCell ref="I293:K293"/>
    <mergeCell ref="L293:N293"/>
    <mergeCell ref="O293:Q293"/>
    <mergeCell ref="F284:H284"/>
    <mergeCell ref="I284:L284"/>
    <mergeCell ref="M284:P284"/>
    <mergeCell ref="Q284:R284"/>
    <mergeCell ref="S284:U284"/>
    <mergeCell ref="V284:X284"/>
    <mergeCell ref="R299:Y299"/>
    <mergeCell ref="B300:D300"/>
    <mergeCell ref="F300:H300"/>
    <mergeCell ref="I300:K300"/>
    <mergeCell ref="L300:N300"/>
    <mergeCell ref="O300:Q300"/>
    <mergeCell ref="R300:V300"/>
    <mergeCell ref="W300:Y300"/>
    <mergeCell ref="B298:D298"/>
    <mergeCell ref="F298:H298"/>
    <mergeCell ref="I298:K298"/>
    <mergeCell ref="L298:N298"/>
    <mergeCell ref="O298:Q298"/>
    <mergeCell ref="B299:D299"/>
    <mergeCell ref="F299:H299"/>
    <mergeCell ref="I299:K299"/>
    <mergeCell ref="L299:N299"/>
    <mergeCell ref="O299:Q299"/>
    <mergeCell ref="G306:N306"/>
    <mergeCell ref="O306:V306"/>
    <mergeCell ref="B307:F307"/>
    <mergeCell ref="G307:H307"/>
    <mergeCell ref="I307:J307"/>
    <mergeCell ref="K307:L307"/>
    <mergeCell ref="M307:N307"/>
    <mergeCell ref="O307:P307"/>
    <mergeCell ref="Q307:R307"/>
    <mergeCell ref="S307:T307"/>
    <mergeCell ref="W301:Y301"/>
    <mergeCell ref="B302:D302"/>
    <mergeCell ref="F302:H302"/>
    <mergeCell ref="I302:K302"/>
    <mergeCell ref="L302:N302"/>
    <mergeCell ref="O302:Q302"/>
    <mergeCell ref="R302:V302"/>
    <mergeCell ref="W302:Y302"/>
    <mergeCell ref="B301:D301"/>
    <mergeCell ref="F301:H301"/>
    <mergeCell ref="I301:K301"/>
    <mergeCell ref="L301:N301"/>
    <mergeCell ref="O301:Q301"/>
    <mergeCell ref="R301:V301"/>
    <mergeCell ref="S308:T308"/>
    <mergeCell ref="U308:V310"/>
    <mergeCell ref="W308:Y310"/>
    <mergeCell ref="Z308:AA310"/>
    <mergeCell ref="B309:F309"/>
    <mergeCell ref="G309:H309"/>
    <mergeCell ref="I309:J309"/>
    <mergeCell ref="K309:L309"/>
    <mergeCell ref="O309:P309"/>
    <mergeCell ref="Q309:R309"/>
    <mergeCell ref="U307:V307"/>
    <mergeCell ref="W307:Y307"/>
    <mergeCell ref="Z307:AA307"/>
    <mergeCell ref="B308:F308"/>
    <mergeCell ref="G308:H308"/>
    <mergeCell ref="I308:J308"/>
    <mergeCell ref="K308:L308"/>
    <mergeCell ref="M308:N310"/>
    <mergeCell ref="O308:P308"/>
    <mergeCell ref="Q308:R308"/>
    <mergeCell ref="G313:N313"/>
    <mergeCell ref="O313:V313"/>
    <mergeCell ref="B314:F314"/>
    <mergeCell ref="G314:H314"/>
    <mergeCell ref="I314:J314"/>
    <mergeCell ref="K314:L314"/>
    <mergeCell ref="M314:N314"/>
    <mergeCell ref="O314:P314"/>
    <mergeCell ref="Q314:R314"/>
    <mergeCell ref="S314:T314"/>
    <mergeCell ref="S309:T309"/>
    <mergeCell ref="B310:F310"/>
    <mergeCell ref="G310:H310"/>
    <mergeCell ref="I310:J310"/>
    <mergeCell ref="K310:L310"/>
    <mergeCell ref="O310:P310"/>
    <mergeCell ref="Q310:R310"/>
    <mergeCell ref="S310:T310"/>
    <mergeCell ref="U315:V317"/>
    <mergeCell ref="W315:Y317"/>
    <mergeCell ref="D316:F316"/>
    <mergeCell ref="G316:H316"/>
    <mergeCell ref="I316:J316"/>
    <mergeCell ref="K316:L316"/>
    <mergeCell ref="O316:P316"/>
    <mergeCell ref="Q316:R316"/>
    <mergeCell ref="S316:T316"/>
    <mergeCell ref="U314:V314"/>
    <mergeCell ref="W314:Y314"/>
    <mergeCell ref="B315:C317"/>
    <mergeCell ref="D315:F315"/>
    <mergeCell ref="G315:H315"/>
    <mergeCell ref="I315:J315"/>
    <mergeCell ref="K315:L315"/>
    <mergeCell ref="M315:N317"/>
    <mergeCell ref="O315:P315"/>
    <mergeCell ref="Q315:R315"/>
    <mergeCell ref="S317:T317"/>
    <mergeCell ref="B318:C320"/>
    <mergeCell ref="D318:F318"/>
    <mergeCell ref="G318:H318"/>
    <mergeCell ref="I318:J318"/>
    <mergeCell ref="K318:L318"/>
    <mergeCell ref="M318:N320"/>
    <mergeCell ref="O318:P318"/>
    <mergeCell ref="Q318:R318"/>
    <mergeCell ref="S318:T318"/>
    <mergeCell ref="D317:F317"/>
    <mergeCell ref="G317:H317"/>
    <mergeCell ref="I317:J317"/>
    <mergeCell ref="K317:L317"/>
    <mergeCell ref="O317:P317"/>
    <mergeCell ref="Q317:R317"/>
    <mergeCell ref="S315:T315"/>
    <mergeCell ref="B323:AA323"/>
    <mergeCell ref="B324:AA324"/>
    <mergeCell ref="B325:AA325"/>
    <mergeCell ref="B326:AA326"/>
    <mergeCell ref="B327:AA327"/>
    <mergeCell ref="B328:AA328"/>
    <mergeCell ref="G320:H320"/>
    <mergeCell ref="I320:J320"/>
    <mergeCell ref="K320:L320"/>
    <mergeCell ref="O320:P320"/>
    <mergeCell ref="Q320:R320"/>
    <mergeCell ref="S320:T320"/>
    <mergeCell ref="U318:V320"/>
    <mergeCell ref="W318:Y320"/>
    <mergeCell ref="D319:F319"/>
    <mergeCell ref="G319:H319"/>
    <mergeCell ref="I319:J319"/>
    <mergeCell ref="K319:L319"/>
    <mergeCell ref="O319:P319"/>
    <mergeCell ref="Q319:R319"/>
    <mergeCell ref="S319:T319"/>
    <mergeCell ref="D320:F320"/>
    <mergeCell ref="B335:F335"/>
    <mergeCell ref="G335:J335"/>
    <mergeCell ref="K335:N335"/>
    <mergeCell ref="O335:R335"/>
    <mergeCell ref="S335:V335"/>
    <mergeCell ref="W335:Y335"/>
    <mergeCell ref="K333:N333"/>
    <mergeCell ref="O333:R333"/>
    <mergeCell ref="S333:V333"/>
    <mergeCell ref="W333:Y333"/>
    <mergeCell ref="B334:F334"/>
    <mergeCell ref="G334:J334"/>
    <mergeCell ref="K334:N334"/>
    <mergeCell ref="O334:R334"/>
    <mergeCell ref="S334:V334"/>
    <mergeCell ref="W334:Y334"/>
    <mergeCell ref="Z331:AA331"/>
    <mergeCell ref="B332:F332"/>
    <mergeCell ref="G332:J332"/>
    <mergeCell ref="K332:N332"/>
    <mergeCell ref="O332:R332"/>
    <mergeCell ref="S332:V332"/>
    <mergeCell ref="W332:Y332"/>
    <mergeCell ref="Z332:AA335"/>
    <mergeCell ref="B333:F333"/>
    <mergeCell ref="G333:J333"/>
    <mergeCell ref="B331:F331"/>
    <mergeCell ref="G331:J331"/>
    <mergeCell ref="K331:N331"/>
    <mergeCell ref="O331:R331"/>
    <mergeCell ref="S331:V331"/>
    <mergeCell ref="W331:Y331"/>
    <mergeCell ref="B340:F340"/>
    <mergeCell ref="G340:J340"/>
    <mergeCell ref="K340:N340"/>
    <mergeCell ref="O340:R340"/>
    <mergeCell ref="S340:V340"/>
    <mergeCell ref="W340:Y340"/>
    <mergeCell ref="B339:F339"/>
    <mergeCell ref="G339:J339"/>
    <mergeCell ref="K339:N339"/>
    <mergeCell ref="O339:R339"/>
    <mergeCell ref="S339:V339"/>
    <mergeCell ref="W339:Y339"/>
    <mergeCell ref="B338:F338"/>
    <mergeCell ref="G338:J338"/>
    <mergeCell ref="K338:N338"/>
    <mergeCell ref="O338:R338"/>
    <mergeCell ref="S338:V338"/>
    <mergeCell ref="W338:Y338"/>
    <mergeCell ref="W346:X346"/>
    <mergeCell ref="Y346:AA346"/>
    <mergeCell ref="B347:D369"/>
    <mergeCell ref="F347:H347"/>
    <mergeCell ref="I347:J347"/>
    <mergeCell ref="K347:L347"/>
    <mergeCell ref="M347:N347"/>
    <mergeCell ref="O347:P350"/>
    <mergeCell ref="Q347:R347"/>
    <mergeCell ref="S347:T347"/>
    <mergeCell ref="C344:Z344"/>
    <mergeCell ref="I345:P345"/>
    <mergeCell ref="Q345:X345"/>
    <mergeCell ref="B346:D346"/>
    <mergeCell ref="F346:H346"/>
    <mergeCell ref="I346:J346"/>
    <mergeCell ref="K346:N346"/>
    <mergeCell ref="O346:P346"/>
    <mergeCell ref="Q346:R346"/>
    <mergeCell ref="S346:V346"/>
    <mergeCell ref="F350:H350"/>
    <mergeCell ref="I350:J350"/>
    <mergeCell ref="M350:N350"/>
    <mergeCell ref="Q350:R350"/>
    <mergeCell ref="U350:V350"/>
    <mergeCell ref="Y350:AA350"/>
    <mergeCell ref="Y348:AA349"/>
    <mergeCell ref="F349:H349"/>
    <mergeCell ref="I349:J349"/>
    <mergeCell ref="M349:N349"/>
    <mergeCell ref="Q349:R349"/>
    <mergeCell ref="U349:V349"/>
    <mergeCell ref="U347:V347"/>
    <mergeCell ref="W347:X350"/>
    <mergeCell ref="Y347:AA347"/>
    <mergeCell ref="F348:H348"/>
    <mergeCell ref="I348:J348"/>
    <mergeCell ref="K348:L349"/>
    <mergeCell ref="M348:N348"/>
    <mergeCell ref="Q348:R348"/>
    <mergeCell ref="S348:T349"/>
    <mergeCell ref="U348:V348"/>
    <mergeCell ref="S351:T351"/>
    <mergeCell ref="U351:V351"/>
    <mergeCell ref="W351:X354"/>
    <mergeCell ref="Y351:AA351"/>
    <mergeCell ref="F352:H352"/>
    <mergeCell ref="I352:J352"/>
    <mergeCell ref="K352:L353"/>
    <mergeCell ref="M352:N352"/>
    <mergeCell ref="Q352:R352"/>
    <mergeCell ref="S352:T353"/>
    <mergeCell ref="F351:H351"/>
    <mergeCell ref="I351:J351"/>
    <mergeCell ref="K351:L351"/>
    <mergeCell ref="M351:N351"/>
    <mergeCell ref="O351:P354"/>
    <mergeCell ref="Q351:R351"/>
    <mergeCell ref="F354:H354"/>
    <mergeCell ref="I354:J354"/>
    <mergeCell ref="M354:N354"/>
    <mergeCell ref="Q354:R354"/>
    <mergeCell ref="U354:V354"/>
    <mergeCell ref="Y354:AA354"/>
    <mergeCell ref="F355:H355"/>
    <mergeCell ref="I355:J355"/>
    <mergeCell ref="K355:L355"/>
    <mergeCell ref="M355:N355"/>
    <mergeCell ref="O355:P358"/>
    <mergeCell ref="Q355:R355"/>
    <mergeCell ref="S355:T355"/>
    <mergeCell ref="U355:V355"/>
    <mergeCell ref="U352:V352"/>
    <mergeCell ref="Y352:AA353"/>
    <mergeCell ref="F353:H353"/>
    <mergeCell ref="I353:J353"/>
    <mergeCell ref="M353:N353"/>
    <mergeCell ref="Q353:R353"/>
    <mergeCell ref="U353:V353"/>
    <mergeCell ref="Y358:AA358"/>
    <mergeCell ref="F359:H359"/>
    <mergeCell ref="I359:J359"/>
    <mergeCell ref="K359:L359"/>
    <mergeCell ref="M359:N359"/>
    <mergeCell ref="O359:P362"/>
    <mergeCell ref="Q359:R359"/>
    <mergeCell ref="S359:T359"/>
    <mergeCell ref="U359:V359"/>
    <mergeCell ref="W359:X362"/>
    <mergeCell ref="F357:H357"/>
    <mergeCell ref="I357:J357"/>
    <mergeCell ref="M357:N357"/>
    <mergeCell ref="Q357:R357"/>
    <mergeCell ref="U357:V357"/>
    <mergeCell ref="F358:H358"/>
    <mergeCell ref="I358:J358"/>
    <mergeCell ref="M358:N358"/>
    <mergeCell ref="Q358:R358"/>
    <mergeCell ref="U358:V358"/>
    <mergeCell ref="W355:X358"/>
    <mergeCell ref="Y355:AA355"/>
    <mergeCell ref="F356:H356"/>
    <mergeCell ref="I356:J356"/>
    <mergeCell ref="K356:L357"/>
    <mergeCell ref="M356:N356"/>
    <mergeCell ref="Q356:R356"/>
    <mergeCell ref="S356:T357"/>
    <mergeCell ref="U356:V356"/>
    <mergeCell ref="Y356:AA357"/>
    <mergeCell ref="I361:J361"/>
    <mergeCell ref="M361:N361"/>
    <mergeCell ref="Q361:R361"/>
    <mergeCell ref="U361:V361"/>
    <mergeCell ref="F362:H362"/>
    <mergeCell ref="I362:J362"/>
    <mergeCell ref="M362:N362"/>
    <mergeCell ref="Q362:R362"/>
    <mergeCell ref="U362:V362"/>
    <mergeCell ref="Y359:AA359"/>
    <mergeCell ref="F360:H360"/>
    <mergeCell ref="I360:J360"/>
    <mergeCell ref="K360:L361"/>
    <mergeCell ref="M360:N360"/>
    <mergeCell ref="Q360:R360"/>
    <mergeCell ref="S360:T361"/>
    <mergeCell ref="U360:V360"/>
    <mergeCell ref="Y360:AA361"/>
    <mergeCell ref="F361:H361"/>
    <mergeCell ref="Y363:AA363"/>
    <mergeCell ref="F364:H364"/>
    <mergeCell ref="I364:J364"/>
    <mergeCell ref="K364:L365"/>
    <mergeCell ref="M364:N364"/>
    <mergeCell ref="Q364:R364"/>
    <mergeCell ref="S364:T365"/>
    <mergeCell ref="U364:V364"/>
    <mergeCell ref="Y364:AA365"/>
    <mergeCell ref="F365:H365"/>
    <mergeCell ref="Y362:AA362"/>
    <mergeCell ref="F363:H363"/>
    <mergeCell ref="I363:J363"/>
    <mergeCell ref="K363:L363"/>
    <mergeCell ref="M363:N363"/>
    <mergeCell ref="O363:P366"/>
    <mergeCell ref="Q363:R363"/>
    <mergeCell ref="S363:T363"/>
    <mergeCell ref="U363:V363"/>
    <mergeCell ref="W363:X366"/>
    <mergeCell ref="Y366:AA366"/>
    <mergeCell ref="Y367:AA367"/>
    <mergeCell ref="Y368:AA368"/>
    <mergeCell ref="Y369:AA369"/>
    <mergeCell ref="B370:D392"/>
    <mergeCell ref="F370:H370"/>
    <mergeCell ref="I370:J370"/>
    <mergeCell ref="K370:L370"/>
    <mergeCell ref="M370:N370"/>
    <mergeCell ref="O370:P373"/>
    <mergeCell ref="I365:J365"/>
    <mergeCell ref="M365:N365"/>
    <mergeCell ref="Q365:R365"/>
    <mergeCell ref="U365:V365"/>
    <mergeCell ref="F366:H366"/>
    <mergeCell ref="I366:J366"/>
    <mergeCell ref="M366:N366"/>
    <mergeCell ref="Q366:R366"/>
    <mergeCell ref="U366:V366"/>
    <mergeCell ref="F373:H373"/>
    <mergeCell ref="I373:J373"/>
    <mergeCell ref="M373:N373"/>
    <mergeCell ref="Q373:R373"/>
    <mergeCell ref="U373:V373"/>
    <mergeCell ref="Y373:AA373"/>
    <mergeCell ref="S371:T372"/>
    <mergeCell ref="U371:V371"/>
    <mergeCell ref="Y371:AA372"/>
    <mergeCell ref="F372:H372"/>
    <mergeCell ref="I372:J372"/>
    <mergeCell ref="M372:N372"/>
    <mergeCell ref="Q372:R372"/>
    <mergeCell ref="U372:V372"/>
    <mergeCell ref="Q370:R370"/>
    <mergeCell ref="S370:T370"/>
    <mergeCell ref="U370:V370"/>
    <mergeCell ref="W370:X373"/>
    <mergeCell ref="Y370:AA370"/>
    <mergeCell ref="F371:H371"/>
    <mergeCell ref="I371:J371"/>
    <mergeCell ref="K371:L372"/>
    <mergeCell ref="M371:N371"/>
    <mergeCell ref="Q371:R371"/>
    <mergeCell ref="S374:T374"/>
    <mergeCell ref="U374:V374"/>
    <mergeCell ref="W374:X377"/>
    <mergeCell ref="Y374:AA374"/>
    <mergeCell ref="F375:H375"/>
    <mergeCell ref="I375:J375"/>
    <mergeCell ref="K375:L376"/>
    <mergeCell ref="M375:N375"/>
    <mergeCell ref="Q375:R375"/>
    <mergeCell ref="S375:T376"/>
    <mergeCell ref="F374:H374"/>
    <mergeCell ref="I374:J374"/>
    <mergeCell ref="K374:L374"/>
    <mergeCell ref="M374:N374"/>
    <mergeCell ref="O374:P377"/>
    <mergeCell ref="Q374:R374"/>
    <mergeCell ref="F377:H377"/>
    <mergeCell ref="I377:J377"/>
    <mergeCell ref="M377:N377"/>
    <mergeCell ref="Q377:R377"/>
    <mergeCell ref="U377:V377"/>
    <mergeCell ref="Y377:AA377"/>
    <mergeCell ref="F378:H378"/>
    <mergeCell ref="I378:J378"/>
    <mergeCell ref="K378:L378"/>
    <mergeCell ref="M378:N378"/>
    <mergeCell ref="O378:P381"/>
    <mergeCell ref="Q378:R378"/>
    <mergeCell ref="S378:T378"/>
    <mergeCell ref="U378:V378"/>
    <mergeCell ref="U375:V375"/>
    <mergeCell ref="Y375:AA376"/>
    <mergeCell ref="F376:H376"/>
    <mergeCell ref="I376:J376"/>
    <mergeCell ref="M376:N376"/>
    <mergeCell ref="Q376:R376"/>
    <mergeCell ref="U376:V376"/>
    <mergeCell ref="F380:H380"/>
    <mergeCell ref="I380:J380"/>
    <mergeCell ref="M380:N380"/>
    <mergeCell ref="Q380:R380"/>
    <mergeCell ref="U380:V380"/>
    <mergeCell ref="F381:H381"/>
    <mergeCell ref="I381:J381"/>
    <mergeCell ref="M381:N381"/>
    <mergeCell ref="Q381:R381"/>
    <mergeCell ref="U381:V381"/>
    <mergeCell ref="W378:X381"/>
    <mergeCell ref="Y378:AA378"/>
    <mergeCell ref="F379:H379"/>
    <mergeCell ref="I379:J379"/>
    <mergeCell ref="K379:L380"/>
    <mergeCell ref="M379:N379"/>
    <mergeCell ref="Q379:R379"/>
    <mergeCell ref="S379:T380"/>
    <mergeCell ref="U379:V379"/>
    <mergeCell ref="Y379:AA380"/>
    <mergeCell ref="Y382:AA382"/>
    <mergeCell ref="F383:H383"/>
    <mergeCell ref="I383:J383"/>
    <mergeCell ref="K383:L384"/>
    <mergeCell ref="M383:N383"/>
    <mergeCell ref="Q383:R383"/>
    <mergeCell ref="S383:T384"/>
    <mergeCell ref="U383:V383"/>
    <mergeCell ref="Y383:AA384"/>
    <mergeCell ref="F384:H384"/>
    <mergeCell ref="Y381:AA381"/>
    <mergeCell ref="F382:H382"/>
    <mergeCell ref="I382:J382"/>
    <mergeCell ref="K382:L382"/>
    <mergeCell ref="M382:N382"/>
    <mergeCell ref="O382:P385"/>
    <mergeCell ref="Q382:R382"/>
    <mergeCell ref="S382:T382"/>
    <mergeCell ref="U382:V382"/>
    <mergeCell ref="W382:X385"/>
    <mergeCell ref="Y385:AA385"/>
    <mergeCell ref="F386:H386"/>
    <mergeCell ref="I386:J386"/>
    <mergeCell ref="K386:L386"/>
    <mergeCell ref="M386:N386"/>
    <mergeCell ref="O386:P389"/>
    <mergeCell ref="Q386:R386"/>
    <mergeCell ref="S386:T386"/>
    <mergeCell ref="U386:V386"/>
    <mergeCell ref="W386:X389"/>
    <mergeCell ref="I384:J384"/>
    <mergeCell ref="M384:N384"/>
    <mergeCell ref="Q384:R384"/>
    <mergeCell ref="U384:V384"/>
    <mergeCell ref="F385:H385"/>
    <mergeCell ref="I385:J385"/>
    <mergeCell ref="M385:N385"/>
    <mergeCell ref="Q385:R385"/>
    <mergeCell ref="U385:V385"/>
    <mergeCell ref="I388:J388"/>
    <mergeCell ref="M388:N388"/>
    <mergeCell ref="Q388:R388"/>
    <mergeCell ref="U388:V388"/>
    <mergeCell ref="F389:H389"/>
    <mergeCell ref="I389:J389"/>
    <mergeCell ref="M389:N389"/>
    <mergeCell ref="Q389:R389"/>
    <mergeCell ref="U389:V389"/>
    <mergeCell ref="Y386:AA386"/>
    <mergeCell ref="F387:H387"/>
    <mergeCell ref="I387:J387"/>
    <mergeCell ref="K387:L388"/>
    <mergeCell ref="M387:N387"/>
    <mergeCell ref="Q387:R387"/>
    <mergeCell ref="S387:T388"/>
    <mergeCell ref="U387:V387"/>
    <mergeCell ref="Y387:AA388"/>
    <mergeCell ref="F388:H388"/>
    <mergeCell ref="S397:V397"/>
    <mergeCell ref="W397:X397"/>
    <mergeCell ref="Y397:AA397"/>
    <mergeCell ref="B398:D420"/>
    <mergeCell ref="F398:H398"/>
    <mergeCell ref="I398:J398"/>
    <mergeCell ref="K398:L398"/>
    <mergeCell ref="M398:N398"/>
    <mergeCell ref="O398:P401"/>
    <mergeCell ref="Q398:R398"/>
    <mergeCell ref="B397:D397"/>
    <mergeCell ref="F397:H397"/>
    <mergeCell ref="I397:J397"/>
    <mergeCell ref="K397:N397"/>
    <mergeCell ref="O397:P397"/>
    <mergeCell ref="Q397:R397"/>
    <mergeCell ref="Y389:AA389"/>
    <mergeCell ref="Y390:AA390"/>
    <mergeCell ref="Y391:AA391"/>
    <mergeCell ref="Y392:AA392"/>
    <mergeCell ref="I396:P396"/>
    <mergeCell ref="Q396:X396"/>
    <mergeCell ref="F401:H401"/>
    <mergeCell ref="I401:J401"/>
    <mergeCell ref="M401:N401"/>
    <mergeCell ref="Q401:R401"/>
    <mergeCell ref="U401:V401"/>
    <mergeCell ref="Y401:AA401"/>
    <mergeCell ref="U399:V399"/>
    <mergeCell ref="Y399:AA400"/>
    <mergeCell ref="F400:H400"/>
    <mergeCell ref="I400:J400"/>
    <mergeCell ref="M400:N400"/>
    <mergeCell ref="Q400:R400"/>
    <mergeCell ref="U400:V400"/>
    <mergeCell ref="S398:T398"/>
    <mergeCell ref="U398:V398"/>
    <mergeCell ref="W398:X401"/>
    <mergeCell ref="Y398:AA398"/>
    <mergeCell ref="F399:H399"/>
    <mergeCell ref="I399:J399"/>
    <mergeCell ref="K399:L400"/>
    <mergeCell ref="M399:N399"/>
    <mergeCell ref="Q399:R399"/>
    <mergeCell ref="S399:T400"/>
    <mergeCell ref="S402:T402"/>
    <mergeCell ref="U402:V402"/>
    <mergeCell ref="W402:X405"/>
    <mergeCell ref="Y402:AA402"/>
    <mergeCell ref="F403:H403"/>
    <mergeCell ref="I403:J403"/>
    <mergeCell ref="K403:L404"/>
    <mergeCell ref="M403:N403"/>
    <mergeCell ref="Q403:R403"/>
    <mergeCell ref="S403:T404"/>
    <mergeCell ref="F402:H402"/>
    <mergeCell ref="I402:J402"/>
    <mergeCell ref="K402:L402"/>
    <mergeCell ref="M402:N402"/>
    <mergeCell ref="O402:P405"/>
    <mergeCell ref="Q402:R402"/>
    <mergeCell ref="F405:H405"/>
    <mergeCell ref="I405:J405"/>
    <mergeCell ref="M405:N405"/>
    <mergeCell ref="Q405:R405"/>
    <mergeCell ref="U405:V405"/>
    <mergeCell ref="Y405:AA405"/>
    <mergeCell ref="F406:H406"/>
    <mergeCell ref="I406:J406"/>
    <mergeCell ref="K406:L406"/>
    <mergeCell ref="M406:N406"/>
    <mergeCell ref="O406:P409"/>
    <mergeCell ref="Q406:R406"/>
    <mergeCell ref="S406:T406"/>
    <mergeCell ref="U406:V406"/>
    <mergeCell ref="U403:V403"/>
    <mergeCell ref="Y403:AA404"/>
    <mergeCell ref="F404:H404"/>
    <mergeCell ref="I404:J404"/>
    <mergeCell ref="M404:N404"/>
    <mergeCell ref="Q404:R404"/>
    <mergeCell ref="U404:V404"/>
    <mergeCell ref="F408:H408"/>
    <mergeCell ref="I408:J408"/>
    <mergeCell ref="M408:N408"/>
    <mergeCell ref="Q408:R408"/>
    <mergeCell ref="U408:V408"/>
    <mergeCell ref="F409:H409"/>
    <mergeCell ref="I409:J409"/>
    <mergeCell ref="M409:N409"/>
    <mergeCell ref="Q409:R409"/>
    <mergeCell ref="U409:V409"/>
    <mergeCell ref="W406:X409"/>
    <mergeCell ref="Y406:AA406"/>
    <mergeCell ref="F407:H407"/>
    <mergeCell ref="I407:J407"/>
    <mergeCell ref="K407:L408"/>
    <mergeCell ref="M407:N407"/>
    <mergeCell ref="Q407:R407"/>
    <mergeCell ref="S407:T408"/>
    <mergeCell ref="U407:V407"/>
    <mergeCell ref="Y407:AA408"/>
    <mergeCell ref="Y410:AA410"/>
    <mergeCell ref="F411:H411"/>
    <mergeCell ref="I411:J411"/>
    <mergeCell ref="K411:L412"/>
    <mergeCell ref="M411:N411"/>
    <mergeCell ref="Q411:R411"/>
    <mergeCell ref="S411:T412"/>
    <mergeCell ref="U411:V411"/>
    <mergeCell ref="Y411:AA412"/>
    <mergeCell ref="F412:H412"/>
    <mergeCell ref="Y409:AA409"/>
    <mergeCell ref="F410:H410"/>
    <mergeCell ref="I410:J410"/>
    <mergeCell ref="K410:L410"/>
    <mergeCell ref="M410:N410"/>
    <mergeCell ref="O410:P413"/>
    <mergeCell ref="Q410:R410"/>
    <mergeCell ref="S410:T410"/>
    <mergeCell ref="U410:V410"/>
    <mergeCell ref="W410:X413"/>
    <mergeCell ref="Y413:AA413"/>
    <mergeCell ref="F414:H414"/>
    <mergeCell ref="I414:J414"/>
    <mergeCell ref="K414:L414"/>
    <mergeCell ref="M414:N414"/>
    <mergeCell ref="O414:P417"/>
    <mergeCell ref="Q414:R414"/>
    <mergeCell ref="S414:T414"/>
    <mergeCell ref="U414:V414"/>
    <mergeCell ref="W414:X417"/>
    <mergeCell ref="I412:J412"/>
    <mergeCell ref="M412:N412"/>
    <mergeCell ref="Q412:R412"/>
    <mergeCell ref="U412:V412"/>
    <mergeCell ref="F413:H413"/>
    <mergeCell ref="I413:J413"/>
    <mergeCell ref="M413:N413"/>
    <mergeCell ref="Q413:R413"/>
    <mergeCell ref="U413:V413"/>
    <mergeCell ref="Y417:AA417"/>
    <mergeCell ref="Y418:AA418"/>
    <mergeCell ref="Y419:AA419"/>
    <mergeCell ref="Y420:AA420"/>
    <mergeCell ref="I416:J416"/>
    <mergeCell ref="M416:N416"/>
    <mergeCell ref="Q416:R416"/>
    <mergeCell ref="U416:V416"/>
    <mergeCell ref="F417:H417"/>
    <mergeCell ref="I417:J417"/>
    <mergeCell ref="M417:N417"/>
    <mergeCell ref="Q417:R417"/>
    <mergeCell ref="U417:V417"/>
    <mergeCell ref="Y414:AA414"/>
    <mergeCell ref="F415:H415"/>
    <mergeCell ref="I415:J415"/>
    <mergeCell ref="K415:L416"/>
    <mergeCell ref="M415:N415"/>
    <mergeCell ref="Q415:R415"/>
    <mergeCell ref="S415:T416"/>
    <mergeCell ref="U415:V415"/>
    <mergeCell ref="Y415:AA416"/>
    <mergeCell ref="F416:H416"/>
  </mergeCells>
  <phoneticPr fontId="2"/>
  <dataValidations count="11">
    <dataValidation type="list" allowBlank="1" showInputMessage="1" showErrorMessage="1" sqref="R25:AA25" xr:uid="{DBE5DDE7-5DAA-477C-AA6B-C2C39306F71D}">
      <formula1>$G$22:$W$22</formula1>
    </dataValidation>
    <dataValidation type="whole" operator="lessThanOrEqual" allowBlank="1" showInputMessage="1" showErrorMessage="1" error="採用者数以下の人数となります。" sqref="M355:M357 M359:M361 M363:M365 M351:M353 U359:U361 U363:U365 U351:U353 U355:U357 M378:M380 M382:M384 M386:M388 M374:M376 U382:U384 U386:U388 U374:U376 U378:U380 M406:M408 M410:M412 M414:M416 M402:M404 U410:U412 U414:U416 U402:U404 U406:U408" xr:uid="{5C9A8CEF-7D16-4E74-BBFF-5E3171EAC005}">
      <formula1>I351</formula1>
    </dataValidation>
    <dataValidation type="list" allowBlank="1" showInputMessage="1" showErrorMessage="1" sqref="N32:N37" xr:uid="{F341B52A-C734-4B07-A87F-AA2FD825CF2C}">
      <formula1>"常勤ﾌﾙﾀｲﾑ,常勤短時間,非常勤,ﾊﾟｰﾄﾀｲﾑ,裁量労働制"</formula1>
    </dataValidation>
    <dataValidation type="list" allowBlank="1" showInputMessage="1" showErrorMessage="1" sqref="J32:J37" xr:uid="{BDD35704-278C-42AE-BD37-5EFFE68173AE}">
      <formula1>"定めなし(無期),定めあり(有期)"</formula1>
    </dataValidation>
    <dataValidation type="whole" operator="lessThanOrEqual" allowBlank="1" showInputMessage="1" showErrorMessage="1" error="採用者数以下の人数となります。" sqref="K161:M163 R153:T155 R161:T163 R157:T159 K153:M155 K157:M159" xr:uid="{17325D42-B3E4-4C00-984D-9CAACFDDE0F4}">
      <formula1>I153</formula1>
    </dataValidation>
    <dataValidation type="whole" operator="lessThanOrEqual" allowBlank="1" showInputMessage="1" showErrorMessage="1" error="応募者数以下の人数となります。" sqref="J55:K63 T55:U63 J70:K84 N70:O84" xr:uid="{7A4877CB-B8FF-46E8-8F4C-33032E463FE0}">
      <formula1>H55</formula1>
    </dataValidation>
    <dataValidation imeMode="halfAlpha" allowBlank="1" showInputMessage="1" showErrorMessage="1" prompt="半角数字で、ハイフンを入れて記載してください。" sqref="I41:M41" xr:uid="{C1FF333B-EBFF-4942-AB79-539BCC9CF7A9}"/>
    <dataValidation type="list" allowBlank="1" showInputMessage="1" showErrorMessage="1" sqref="Z308:AA310 Z332:AA335 Z91:AA92 Z105:AA106 X237 AA339:AA340 R199:S200 X64 X264 U129:X129 W165:AA165 X294:Y295" xr:uid="{AAFD9EEC-B64C-407B-A20D-96BE4DFDE880}">
      <formula1>"該当,非該当"</formula1>
    </dataValidation>
    <dataValidation type="list" allowBlank="1" showInputMessage="1" showErrorMessage="1" sqref="I30" xr:uid="{CB4F8981-EFCA-41FE-8818-5079179FEE3B}">
      <formula1>"設定あり,設定なし"</formula1>
    </dataValidation>
    <dataValidation type="list" allowBlank="1" showInputMessage="1" showErrorMessage="1" sqref="I32:I34" xr:uid="{CDCFD034-E50D-4990-A4E1-E418F1D27E48}">
      <formula1>"○"</formula1>
    </dataValidation>
    <dataValidation type="list" allowBlank="1" showInputMessage="1" showErrorMessage="1" sqref="R32:R37" xr:uid="{A5D0B6BC-D32F-4453-9599-A744ED9BCD21}">
      <formula1>"対象労働者,対象外労働者"</formula1>
    </dataValidation>
  </dataValidations>
  <printOptions horizontalCentered="1"/>
  <pageMargins left="0.70866141732283472" right="0.70866141732283472" top="0.74803149606299213" bottom="0.35433070866141736" header="0.31496062992125984" footer="0.11811023622047245"/>
  <pageSetup paperSize="9" scale="92" fitToHeight="0" orientation="portrait" r:id="rId1"/>
  <headerFooter scaleWithDoc="0">
    <oddFooter>&amp;C&amp;P/&amp;N</oddFooter>
  </headerFooter>
  <rowBreaks count="11" manualBreakCount="11">
    <brk id="42" max="16383" man="1"/>
    <brk id="85" max="27" man="1"/>
    <brk id="114" max="27" man="1"/>
    <brk id="146" max="27" man="1"/>
    <brk id="194" max="27" man="1"/>
    <brk id="208" max="27" man="1"/>
    <brk id="240" max="27" man="1"/>
    <brk id="285" max="27" man="1"/>
    <brk id="321" max="27" man="1"/>
    <brk id="341" max="16383" man="1"/>
    <brk id="393" max="2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81DB9-C49C-4881-AE6C-9C2B161241D4}">
  <sheetPr>
    <outlinePr summaryRight="0"/>
  </sheetPr>
  <dimension ref="A1:AD545"/>
  <sheetViews>
    <sheetView view="pageBreakPreview" zoomScale="110" zoomScaleNormal="110" zoomScaleSheetLayoutView="110" workbookViewId="0">
      <selection activeCell="AD14" sqref="AD14"/>
    </sheetView>
  </sheetViews>
  <sheetFormatPr defaultRowHeight="13.5" x14ac:dyDescent="0.15"/>
  <cols>
    <col min="1" max="1" width="1" style="171" customWidth="1"/>
    <col min="2" max="4" width="3.625" style="171" customWidth="1"/>
    <col min="5" max="5" width="3.625" style="171" hidden="1" customWidth="1"/>
    <col min="6" max="27" width="3.625" style="171" customWidth="1"/>
    <col min="28" max="28" width="1" style="171" customWidth="1"/>
    <col min="29" max="16384" width="9" style="171"/>
  </cols>
  <sheetData>
    <row r="1" spans="1:28" x14ac:dyDescent="0.15">
      <c r="B1" s="172" t="s">
        <v>73</v>
      </c>
    </row>
    <row r="2" spans="1:28" ht="30.75" customHeight="1" x14ac:dyDescent="0.15">
      <c r="B2" s="1438" t="s">
        <v>152</v>
      </c>
      <c r="C2" s="1438"/>
      <c r="D2" s="1438"/>
      <c r="E2" s="1438"/>
      <c r="F2" s="1438"/>
      <c r="G2" s="1438"/>
      <c r="H2" s="1438"/>
      <c r="I2" s="1438"/>
      <c r="J2" s="1438"/>
      <c r="K2" s="1438"/>
      <c r="L2" s="1438"/>
      <c r="M2" s="1438"/>
      <c r="N2" s="1438"/>
      <c r="O2" s="1438"/>
      <c r="P2" s="1438"/>
      <c r="Q2" s="1438"/>
      <c r="R2" s="1438"/>
      <c r="S2" s="1438"/>
      <c r="T2" s="1438"/>
      <c r="U2" s="1438"/>
      <c r="V2" s="1438"/>
      <c r="W2" s="1438"/>
      <c r="X2" s="1438"/>
      <c r="Y2" s="1438"/>
      <c r="Z2" s="1438"/>
      <c r="AA2" s="1438"/>
    </row>
    <row r="3" spans="1:28" ht="17.25" customHeight="1" x14ac:dyDescent="0.15">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row>
    <row r="4" spans="1:28" s="176" customFormat="1" ht="30.75" customHeight="1" x14ac:dyDescent="0.15">
      <c r="A4" s="174"/>
      <c r="B4" s="1439" t="s">
        <v>239</v>
      </c>
      <c r="C4" s="1439"/>
      <c r="D4" s="1439"/>
      <c r="E4" s="1439"/>
      <c r="F4" s="1439"/>
      <c r="G4" s="1439"/>
      <c r="H4" s="1439"/>
      <c r="I4" s="1439"/>
      <c r="J4" s="1439"/>
      <c r="K4" s="1439"/>
      <c r="L4" s="1439"/>
      <c r="M4" s="1439"/>
      <c r="N4" s="1439"/>
      <c r="O4" s="1439"/>
      <c r="P4" s="1439"/>
      <c r="Q4" s="1439"/>
      <c r="R4" s="1439"/>
      <c r="S4" s="1439"/>
      <c r="T4" s="1439"/>
      <c r="U4" s="1439"/>
      <c r="V4" s="1439"/>
      <c r="W4" s="1439"/>
      <c r="X4" s="1439"/>
      <c r="Y4" s="1439"/>
      <c r="Z4" s="1439"/>
      <c r="AA4" s="1439"/>
      <c r="AB4" s="175"/>
    </row>
    <row r="5" spans="1:28" s="176" customFormat="1" ht="17.25" customHeight="1" x14ac:dyDescent="0.15">
      <c r="A5" s="177"/>
      <c r="B5" s="178"/>
      <c r="C5" s="179"/>
      <c r="D5" s="179"/>
      <c r="E5" s="179"/>
      <c r="F5" s="179"/>
      <c r="G5" s="179"/>
      <c r="H5" s="179"/>
      <c r="I5" s="179"/>
      <c r="J5" s="179"/>
      <c r="K5" s="179"/>
      <c r="L5" s="179"/>
      <c r="M5" s="179"/>
      <c r="N5" s="179"/>
      <c r="O5" s="276"/>
      <c r="P5" s="180" t="e">
        <f>TEXT(DATE(YEAR($X$27)-5,MONTH($X$27),DAY($X$27)),"yyyy年")</f>
        <v>#VALUE!</v>
      </c>
      <c r="Q5" s="181"/>
      <c r="R5" s="180" t="e">
        <f>TEXT(DATE(YEAR($X$27)-5,MONTH($X$27),DAY($X$27)),"yyyy")</f>
        <v>#VALUE!</v>
      </c>
      <c r="S5" s="181"/>
      <c r="T5" s="180"/>
      <c r="U5" s="180" t="e">
        <f>TEXT(DATE(YEAR($X$27)-15,MONTH($X$27),DAY($X$27)),"yyyy年")</f>
        <v>#VALUE!</v>
      </c>
      <c r="V5" s="181"/>
      <c r="W5" s="180" t="e">
        <f>TEXT(DATE(YEAR($X$27)-15,MONTH($X$27),DAY($X$27)),"yyyy")</f>
        <v>#VALUE!</v>
      </c>
      <c r="X5" s="188"/>
      <c r="Y5" s="189"/>
      <c r="AA5" s="179"/>
      <c r="AB5" s="182"/>
    </row>
    <row r="6" spans="1:28" s="176" customFormat="1" ht="27" customHeight="1" x14ac:dyDescent="0.15">
      <c r="A6" s="177"/>
      <c r="B6" s="1440" t="s">
        <v>206</v>
      </c>
      <c r="C6" s="1440"/>
      <c r="D6" s="1440"/>
      <c r="E6" s="1440"/>
      <c r="F6" s="1440"/>
      <c r="G6" s="1440"/>
      <c r="H6" s="1440"/>
      <c r="I6" s="1440"/>
      <c r="J6" s="1440"/>
      <c r="K6" s="1440"/>
      <c r="L6" s="1440"/>
      <c r="M6" s="1440"/>
      <c r="N6" s="1440"/>
      <c r="O6" s="1440"/>
      <c r="P6" s="1440"/>
      <c r="Q6" s="1440"/>
      <c r="R6" s="1440"/>
      <c r="S6" s="1440"/>
      <c r="T6" s="1440"/>
      <c r="U6" s="1440"/>
      <c r="V6" s="1440"/>
      <c r="W6" s="1440"/>
      <c r="X6" s="1440"/>
      <c r="Y6" s="1440"/>
      <c r="Z6" s="1440"/>
      <c r="AA6" s="1440"/>
      <c r="AB6" s="182"/>
    </row>
    <row r="7" spans="1:28" s="176" customFormat="1" ht="27" customHeight="1" x14ac:dyDescent="0.15">
      <c r="A7" s="177"/>
      <c r="B7" s="183"/>
      <c r="C7" s="1507" t="str">
        <f>IF(G23="","右の日付、企業名等には、下の青色着色欄の入力内容が反映","")</f>
        <v/>
      </c>
      <c r="D7" s="183"/>
      <c r="E7" s="183"/>
      <c r="F7" s="183"/>
      <c r="G7" s="183"/>
      <c r="H7" s="183"/>
      <c r="I7" s="183"/>
      <c r="J7" s="183"/>
      <c r="K7" s="183"/>
      <c r="L7" s="183"/>
      <c r="M7" s="183"/>
      <c r="N7" s="183"/>
      <c r="O7" s="183"/>
      <c r="P7" s="183"/>
      <c r="Q7" s="183"/>
      <c r="R7" s="183"/>
      <c r="S7" s="183"/>
      <c r="T7" s="1506">
        <f>IF(W20="","日付",W20)</f>
        <v>46122</v>
      </c>
      <c r="U7" s="1506"/>
      <c r="V7" s="1506"/>
      <c r="W7" s="1506"/>
      <c r="X7" s="1506"/>
      <c r="Y7" s="1506"/>
      <c r="Z7" s="1506"/>
      <c r="AA7" s="183"/>
      <c r="AB7" s="182"/>
    </row>
    <row r="8" spans="1:28" s="176" customFormat="1" ht="27" customHeight="1" x14ac:dyDescent="0.15">
      <c r="A8" s="177"/>
      <c r="B8" s="178"/>
      <c r="C8" s="1508" t="str">
        <f>IF(G23="","されますので、ここでの入力は不要です。","")</f>
        <v/>
      </c>
      <c r="D8" s="179"/>
      <c r="E8" s="179"/>
      <c r="F8" s="179"/>
      <c r="G8" s="179"/>
      <c r="H8" s="179"/>
      <c r="I8" s="179"/>
      <c r="J8" s="179"/>
      <c r="K8" s="179"/>
      <c r="L8" s="179"/>
      <c r="M8" s="179"/>
      <c r="N8" s="179"/>
      <c r="O8" s="179"/>
      <c r="P8" s="179"/>
      <c r="Q8" s="179"/>
      <c r="S8" s="178" t="str">
        <f>IF(G23="","企業名",G23)</f>
        <v>株式会社参画企画</v>
      </c>
      <c r="T8" s="179"/>
      <c r="U8" s="179"/>
      <c r="V8" s="179"/>
      <c r="W8" s="179"/>
      <c r="X8" s="179"/>
      <c r="Y8" s="179"/>
      <c r="Z8" s="179"/>
      <c r="AA8" s="179"/>
      <c r="AB8" s="182"/>
    </row>
    <row r="9" spans="1:28" s="176" customFormat="1" ht="22.5" customHeight="1" x14ac:dyDescent="0.15">
      <c r="A9" s="177"/>
      <c r="B9" s="178"/>
      <c r="C9" s="179"/>
      <c r="D9" s="179"/>
      <c r="E9" s="179"/>
      <c r="F9" s="179"/>
      <c r="G9" s="179"/>
      <c r="H9" s="179"/>
      <c r="I9" s="179"/>
      <c r="J9" s="179"/>
      <c r="K9" s="179"/>
      <c r="L9" s="179"/>
      <c r="M9" s="179"/>
      <c r="N9" s="179"/>
      <c r="O9" s="179"/>
      <c r="P9" s="179"/>
      <c r="Q9" s="179"/>
      <c r="S9" s="176" t="str">
        <f>IF(W23="","代表者職名",W23)</f>
        <v>代表取締役社長</v>
      </c>
      <c r="X9" s="176" t="str">
        <f>IF(W24="","代表者氏名",W24)</f>
        <v>安芸田　憲一</v>
      </c>
      <c r="AB9" s="182"/>
    </row>
    <row r="10" spans="1:28" s="176" customFormat="1" ht="22.5" customHeight="1" x14ac:dyDescent="0.15">
      <c r="A10" s="177"/>
      <c r="B10" s="178" t="s">
        <v>81</v>
      </c>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79"/>
      <c r="AA10" s="179"/>
      <c r="AB10" s="182"/>
    </row>
    <row r="11" spans="1:28" s="176" customFormat="1" ht="22.5" customHeight="1" x14ac:dyDescent="0.15">
      <c r="A11" s="177"/>
      <c r="B11" s="178" t="s">
        <v>83</v>
      </c>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182"/>
    </row>
    <row r="12" spans="1:28" s="176" customFormat="1" ht="22.5" customHeight="1" x14ac:dyDescent="0.15">
      <c r="A12" s="177"/>
      <c r="B12" s="178" t="s">
        <v>84</v>
      </c>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79"/>
      <c r="AA12" s="179"/>
      <c r="AB12" s="182"/>
    </row>
    <row r="13" spans="1:28" s="176" customFormat="1" ht="22.5" customHeight="1" x14ac:dyDescent="0.15">
      <c r="A13" s="177"/>
      <c r="B13" s="178" t="s">
        <v>85</v>
      </c>
      <c r="C13" s="179"/>
      <c r="D13" s="179"/>
      <c r="E13" s="179"/>
      <c r="F13" s="179"/>
      <c r="G13" s="179"/>
      <c r="H13" s="179"/>
      <c r="I13" s="179"/>
      <c r="J13" s="179"/>
      <c r="K13" s="179"/>
      <c r="L13" s="179"/>
      <c r="M13" s="179"/>
      <c r="N13" s="179"/>
      <c r="O13" s="179"/>
      <c r="P13" s="179"/>
      <c r="Q13" s="179"/>
      <c r="R13" s="179"/>
      <c r="S13" s="179"/>
      <c r="T13" s="179"/>
      <c r="U13" s="179"/>
      <c r="V13" s="179"/>
      <c r="W13" s="179"/>
      <c r="X13" s="179"/>
      <c r="Y13" s="179"/>
      <c r="Z13" s="179"/>
      <c r="AA13" s="179"/>
      <c r="AB13" s="182"/>
    </row>
    <row r="14" spans="1:28" s="176" customFormat="1" ht="22.5" customHeight="1" x14ac:dyDescent="0.15">
      <c r="A14" s="184"/>
      <c r="B14" s="185" t="s">
        <v>123</v>
      </c>
      <c r="C14" s="186"/>
      <c r="D14" s="186"/>
      <c r="E14" s="186"/>
      <c r="F14" s="186"/>
      <c r="G14" s="186"/>
      <c r="H14" s="186"/>
      <c r="I14" s="186"/>
      <c r="J14" s="186"/>
      <c r="K14" s="186"/>
      <c r="L14" s="186"/>
      <c r="M14" s="186"/>
      <c r="N14" s="186"/>
      <c r="O14" s="186"/>
      <c r="P14" s="186"/>
      <c r="Q14" s="186"/>
      <c r="R14" s="186"/>
      <c r="S14" s="186"/>
      <c r="T14" s="186"/>
      <c r="U14" s="186"/>
      <c r="V14" s="186"/>
      <c r="W14" s="186"/>
      <c r="X14" s="186"/>
      <c r="Y14" s="186"/>
      <c r="Z14" s="186"/>
      <c r="AA14" s="186"/>
      <c r="AB14" s="187"/>
    </row>
    <row r="15" spans="1:28" s="176" customFormat="1" ht="17.25" customHeight="1" x14ac:dyDescent="0.15">
      <c r="C15" s="179"/>
      <c r="D15" s="179"/>
      <c r="L15" s="188"/>
      <c r="M15" s="188"/>
      <c r="N15" s="188"/>
      <c r="O15" s="181"/>
      <c r="P15" s="180"/>
      <c r="Q15" s="181"/>
      <c r="R15" s="180" t="str">
        <f>TEXT(DATE(YEAR($I$27)-9,MONTH($I$27),DAY($I$27)),"yyyy年")</f>
        <v>2015年</v>
      </c>
      <c r="S15" s="180" t="str">
        <f>TEXT(DATE(YEAR($I$27)-9,MONTH($I$27),DAY($I$27)),"yyyy")</f>
        <v>2015</v>
      </c>
      <c r="T15" s="180" t="str">
        <f>TEXT(DATE(YEAR($I$27)-9,MONTH($I$27),DAY($I$27)),"yyyy年")</f>
        <v>2015年</v>
      </c>
      <c r="U15" s="188"/>
      <c r="V15" s="189"/>
      <c r="W15" s="188"/>
      <c r="X15" s="189"/>
      <c r="Y15" s="188"/>
      <c r="Z15" s="188"/>
      <c r="AA15" s="190"/>
    </row>
    <row r="16" spans="1:28" s="176" customFormat="1" ht="17.25" customHeight="1" x14ac:dyDescent="0.15">
      <c r="C16" s="179"/>
      <c r="D16" s="179"/>
      <c r="G16" s="188"/>
      <c r="I16" s="188"/>
      <c r="L16" s="188"/>
      <c r="M16" s="188"/>
      <c r="N16" s="188"/>
      <c r="O16" s="180" t="str">
        <f>TEXT(I27,"yyyy年")</f>
        <v>2024年</v>
      </c>
      <c r="P16" s="180" t="str">
        <f>TEXT(I27,"yyyy")</f>
        <v>2024</v>
      </c>
      <c r="Q16" s="180" t="str">
        <f>TEXT(I27,"yyyy年")</f>
        <v>2024年</v>
      </c>
      <c r="R16" s="180" t="str">
        <f>TEXT(DATE(YEAR($I$27)-10,MONTH($I$27),DAY($I$27)),"yyyy年")</f>
        <v>2014年</v>
      </c>
      <c r="S16" s="180" t="str">
        <f>TEXT(DATE(YEAR($I$27)-10,MONTH($I$27),DAY($I$27)),"yyyy")</f>
        <v>2014</v>
      </c>
      <c r="T16" s="180" t="str">
        <f>TEXT(DATE(YEAR($I$27)-10,MONTH($I$27),DAY($I$27)),"yyyy年")</f>
        <v>2014年</v>
      </c>
      <c r="U16" s="188"/>
      <c r="V16" s="189"/>
      <c r="W16" s="188"/>
      <c r="X16" s="189"/>
      <c r="Y16" s="188"/>
      <c r="Z16" s="188"/>
      <c r="AA16" s="190"/>
    </row>
    <row r="17" spans="2:27" s="176" customFormat="1" ht="17.25" customHeight="1" x14ac:dyDescent="0.15">
      <c r="C17" s="179"/>
      <c r="D17" s="179"/>
      <c r="L17" s="188"/>
      <c r="M17" s="188"/>
      <c r="N17" s="188"/>
      <c r="O17" s="180" t="str">
        <f>TEXT(DATE(YEAR($I$27)-1,MONTH($I$27),DAY($I$27)),"yyyy年")</f>
        <v>2023年</v>
      </c>
      <c r="P17" s="180" t="str">
        <f>TEXT(DATE(YEAR($I$27)-1,MONTH($I$27),DAY($I$27)),"yyyy")</f>
        <v>2023</v>
      </c>
      <c r="Q17" s="180" t="str">
        <f>TEXT(DATE(YEAR($I$27)-1,MONTH($I$27),DAY($I$27)),"yyyy年")</f>
        <v>2023年</v>
      </c>
      <c r="R17" s="180" t="str">
        <f>TEXT(DATE(YEAR($I$27)-11,MONTH($I$27),DAY($I$27)),"yyyy年")</f>
        <v>2013年</v>
      </c>
      <c r="S17" s="180" t="str">
        <f>TEXT(DATE(YEAR($I$27)-11,MONTH($I$27),DAY($I$27)),"yyyy")</f>
        <v>2013</v>
      </c>
      <c r="T17" s="180" t="str">
        <f>TEXT(DATE(YEAR($I$27)-11,MONTH($I$27),DAY($I$27)),"yyyy年")</f>
        <v>2013年</v>
      </c>
      <c r="U17" s="188"/>
      <c r="V17" s="189"/>
      <c r="W17" s="188"/>
      <c r="X17" s="189"/>
      <c r="Y17" s="188"/>
      <c r="Z17" s="188"/>
      <c r="AA17" s="190"/>
    </row>
    <row r="18" spans="2:27" s="176" customFormat="1" ht="17.25" customHeight="1" x14ac:dyDescent="0.15">
      <c r="C18" s="179"/>
      <c r="D18" s="179"/>
      <c r="L18" s="188"/>
      <c r="M18" s="188"/>
      <c r="N18" s="188"/>
      <c r="O18" s="180" t="str">
        <f>TEXT(DATE(YEAR($I$27)-2,MONTH($I$27),DAY($I$27)),"yyyy年")</f>
        <v>2022年</v>
      </c>
      <c r="P18" s="180" t="str">
        <f>TEXT(DATE(YEAR($I$27)-2,MONTH($I$27),DAY($I$27)),"yyyy")</f>
        <v>2022</v>
      </c>
      <c r="Q18" s="180" t="str">
        <f>TEXT(DATE(YEAR($I$27)-2,MONTH($I$27),DAY($I$27)),"yyyy年")</f>
        <v>2022年</v>
      </c>
      <c r="R18" s="180" t="str">
        <f>TEXT(DATE(YEAR($I$27)-12,MONTH($I$27),DAY($I$27)),"yyyy年")</f>
        <v>2012年</v>
      </c>
      <c r="S18" s="180" t="str">
        <f>TEXT(DATE(YEAR($I$27)-12,MONTH($I$27),DAY($I$27)),"yyyy")</f>
        <v>2012</v>
      </c>
      <c r="T18" s="180" t="str">
        <f>TEXT(DATE(YEAR($I$27)-12,MONTH($I$27),DAY($I$27)),"yyyy年")</f>
        <v>2012年</v>
      </c>
      <c r="U18" s="188"/>
      <c r="V18" s="189"/>
      <c r="W18" s="188"/>
      <c r="X18" s="189"/>
      <c r="Y18" s="188"/>
      <c r="Z18" s="188"/>
      <c r="AA18" s="190"/>
    </row>
    <row r="19" spans="2:27" ht="17.25" customHeight="1" x14ac:dyDescent="0.15">
      <c r="B19" s="191"/>
      <c r="C19" s="192" t="s">
        <v>161</v>
      </c>
      <c r="L19" s="193"/>
      <c r="M19" s="193"/>
      <c r="N19" s="193"/>
      <c r="O19" s="180" t="str">
        <f>TEXT(DATE(YEAR($I$27)-3,MONTH($I$27),DAY($I$27)),"yyyy年")</f>
        <v>2021年</v>
      </c>
      <c r="P19" s="180" t="str">
        <f>TEXT(DATE(YEAR($I$27)-3,MONTH($I$27),DAY($I$27)),"yyyy")</f>
        <v>2021</v>
      </c>
      <c r="Q19" s="180" t="str">
        <f>TEXT(DATE(YEAR($I$27)-3,MONTH($I$27),DAY($I$27)),"yyyy年")</f>
        <v>2021年</v>
      </c>
      <c r="R19" s="180" t="str">
        <f>TEXT(DATE(YEAR($I$27)-13,MONTH($I$27),DAY($I$27)),"yyyy年")</f>
        <v>2011年</v>
      </c>
      <c r="S19" s="180" t="str">
        <f>TEXT(DATE(YEAR($I$27)-13,MONTH($I$27),DAY($I$27)),"yyyy")</f>
        <v>2011</v>
      </c>
      <c r="T19" s="180" t="str">
        <f>TEXT(DATE(YEAR($I$27)-13,MONTH($I$27),DAY($I$27)),"yyyy年")</f>
        <v>2011年</v>
      </c>
      <c r="U19" s="193"/>
      <c r="V19" s="189"/>
      <c r="W19" s="193"/>
      <c r="X19" s="189"/>
      <c r="Y19" s="193"/>
      <c r="Z19" s="193"/>
      <c r="AA19" s="193"/>
    </row>
    <row r="20" spans="2:27" ht="5.25" customHeight="1" x14ac:dyDescent="0.15">
      <c r="C20" s="195"/>
      <c r="M20" s="193"/>
      <c r="N20" s="193"/>
      <c r="O20" s="180" t="str">
        <f>TEXT(DATE(YEAR($I$27)-4,MONTH($I$27),DAY($I$27)),"yyyy年")</f>
        <v>2020年</v>
      </c>
      <c r="P20" s="180" t="str">
        <f>TEXT(DATE(YEAR($I$27)-4,MONTH($I$27),DAY($I$27)),"yyyy")</f>
        <v>2020</v>
      </c>
      <c r="Q20" s="180" t="str">
        <f>TEXT(DATE(YEAR($I$27)-4,MONTH($I$27),DAY($I$27)),"yyyy年")</f>
        <v>2020年</v>
      </c>
      <c r="R20" s="180" t="str">
        <f>TEXT(DATE(YEAR($I$27)-14,MONTH($I$27),DAY($I$27)),"yyyy年")</f>
        <v>2010年</v>
      </c>
      <c r="S20" s="180" t="str">
        <f>TEXT(DATE(YEAR($I$27)-14,MONTH($I$27),DAY($I$27)),"yyyy")</f>
        <v>2010</v>
      </c>
      <c r="T20" s="180" t="str">
        <f>TEXT(DATE(YEAR($I$27)-14,MONTH($I$27),DAY($I$27)),"yyyy年")</f>
        <v>2010年</v>
      </c>
      <c r="U20" s="1442" t="s">
        <v>75</v>
      </c>
      <c r="V20" s="1443"/>
      <c r="W20" s="962">
        <v>46122</v>
      </c>
      <c r="X20" s="963"/>
      <c r="Y20" s="963"/>
      <c r="Z20" s="963"/>
      <c r="AA20" s="964"/>
    </row>
    <row r="21" spans="2:27" ht="17.25" customHeight="1" x14ac:dyDescent="0.15">
      <c r="B21" s="196"/>
      <c r="C21" s="197" t="s">
        <v>162</v>
      </c>
      <c r="D21" s="173"/>
      <c r="E21" s="173"/>
      <c r="F21" s="173"/>
      <c r="G21" s="173"/>
      <c r="H21" s="173"/>
      <c r="I21" s="173"/>
      <c r="J21" s="173"/>
      <c r="K21" s="173"/>
      <c r="L21" s="173"/>
      <c r="M21" s="198"/>
      <c r="N21" s="198"/>
      <c r="O21" s="194"/>
      <c r="P21" s="194"/>
      <c r="Q21" s="194"/>
      <c r="R21" s="180" t="str">
        <f>TEXT(DATE(YEAR($I$27)-15,MONTH($I$27),DAY($I$27)),"yyyy年")</f>
        <v>2009年</v>
      </c>
      <c r="S21" s="180" t="str">
        <f>TEXT(DATE(YEAR($I$27)-15,MONTH($I$27),DAY($I$27)),"yyyy")</f>
        <v>2009</v>
      </c>
      <c r="T21" s="180" t="str">
        <f>TEXT(DATE(YEAR($I$27)-15,MONTH($I$27),DAY($I$27)),"yyyy年")</f>
        <v>2009年</v>
      </c>
      <c r="U21" s="1444"/>
      <c r="V21" s="1445"/>
      <c r="W21" s="965"/>
      <c r="X21" s="966"/>
      <c r="Y21" s="966"/>
      <c r="Z21" s="966"/>
      <c r="AA21" s="967"/>
    </row>
    <row r="22" spans="2:27" s="194" customFormat="1" ht="5.25" customHeight="1" x14ac:dyDescent="0.15">
      <c r="B22" s="200"/>
      <c r="C22" s="199"/>
      <c r="D22" s="199"/>
      <c r="E22" s="199"/>
      <c r="F22" s="199"/>
      <c r="G22" s="181" t="s">
        <v>104</v>
      </c>
      <c r="H22" s="181" t="s">
        <v>105</v>
      </c>
      <c r="I22" s="181" t="s">
        <v>64</v>
      </c>
      <c r="J22" s="181" t="s">
        <v>106</v>
      </c>
      <c r="K22" s="181" t="s">
        <v>107</v>
      </c>
      <c r="L22" s="181" t="s">
        <v>108</v>
      </c>
      <c r="M22" s="181" t="s">
        <v>109</v>
      </c>
      <c r="N22" s="181" t="s">
        <v>110</v>
      </c>
      <c r="O22" s="181" t="s">
        <v>111</v>
      </c>
      <c r="P22" s="181" t="s">
        <v>112</v>
      </c>
      <c r="Q22" s="181" t="s">
        <v>113</v>
      </c>
      <c r="R22" s="181" t="s">
        <v>114</v>
      </c>
      <c r="S22" s="181" t="s">
        <v>115</v>
      </c>
      <c r="T22" s="181" t="s">
        <v>116</v>
      </c>
      <c r="U22" s="181" t="s">
        <v>117</v>
      </c>
      <c r="V22" s="181" t="s">
        <v>118</v>
      </c>
      <c r="W22" s="181" t="s">
        <v>119</v>
      </c>
      <c r="X22" s="181"/>
      <c r="Y22" s="181"/>
    </row>
    <row r="23" spans="2:27" ht="22.5" customHeight="1" x14ac:dyDescent="0.15">
      <c r="B23" s="1311" t="s">
        <v>44</v>
      </c>
      <c r="C23" s="1312"/>
      <c r="D23" s="1312"/>
      <c r="E23" s="1312"/>
      <c r="F23" s="1313"/>
      <c r="G23" s="877" t="s">
        <v>270</v>
      </c>
      <c r="H23" s="878"/>
      <c r="I23" s="878"/>
      <c r="J23" s="878"/>
      <c r="K23" s="878"/>
      <c r="L23" s="878"/>
      <c r="M23" s="878"/>
      <c r="N23" s="878"/>
      <c r="O23" s="878"/>
      <c r="P23" s="878"/>
      <c r="Q23" s="878"/>
      <c r="R23" s="1295" t="s">
        <v>79</v>
      </c>
      <c r="S23" s="1296"/>
      <c r="T23" s="1297"/>
      <c r="U23" s="1311" t="s">
        <v>92</v>
      </c>
      <c r="V23" s="1313"/>
      <c r="W23" s="877" t="s">
        <v>271</v>
      </c>
      <c r="X23" s="878"/>
      <c r="Y23" s="878"/>
      <c r="Z23" s="878"/>
      <c r="AA23" s="879"/>
    </row>
    <row r="24" spans="2:27" ht="22.5" customHeight="1" x14ac:dyDescent="0.15">
      <c r="B24" s="1311" t="s">
        <v>74</v>
      </c>
      <c r="C24" s="1312"/>
      <c r="D24" s="1312"/>
      <c r="E24" s="1312"/>
      <c r="F24" s="1313"/>
      <c r="G24" s="877" t="s">
        <v>272</v>
      </c>
      <c r="H24" s="878"/>
      <c r="I24" s="878"/>
      <c r="J24" s="878"/>
      <c r="K24" s="878"/>
      <c r="L24" s="878"/>
      <c r="M24" s="878"/>
      <c r="N24" s="878"/>
      <c r="O24" s="878"/>
      <c r="P24" s="878"/>
      <c r="Q24" s="878"/>
      <c r="R24" s="1436"/>
      <c r="S24" s="1431"/>
      <c r="T24" s="1437"/>
      <c r="U24" s="1311" t="s">
        <v>80</v>
      </c>
      <c r="V24" s="1313"/>
      <c r="W24" s="877" t="s">
        <v>273</v>
      </c>
      <c r="X24" s="878"/>
      <c r="Y24" s="878"/>
      <c r="Z24" s="878"/>
      <c r="AA24" s="879"/>
    </row>
    <row r="25" spans="2:27" s="176" customFormat="1" ht="22.5" customHeight="1" x14ac:dyDescent="0.15">
      <c r="B25" s="1425" t="s">
        <v>82</v>
      </c>
      <c r="C25" s="1426"/>
      <c r="D25" s="1426"/>
      <c r="E25" s="1426"/>
      <c r="F25" s="1427"/>
      <c r="G25" s="201"/>
      <c r="H25" s="202" t="s">
        <v>38</v>
      </c>
      <c r="I25" s="611">
        <v>8</v>
      </c>
      <c r="J25" s="611"/>
      <c r="K25" s="1296" t="s">
        <v>43</v>
      </c>
      <c r="L25" s="1432">
        <f>IF(I25="","",I25+I26)</f>
        <v>22</v>
      </c>
      <c r="M25" s="1433"/>
      <c r="N25" s="1311" t="s">
        <v>65</v>
      </c>
      <c r="O25" s="1312"/>
      <c r="P25" s="1312"/>
      <c r="Q25" s="1312"/>
      <c r="R25" s="903" t="s">
        <v>114</v>
      </c>
      <c r="S25" s="904"/>
      <c r="T25" s="904"/>
      <c r="U25" s="904"/>
      <c r="V25" s="904"/>
      <c r="W25" s="904"/>
      <c r="X25" s="904"/>
      <c r="Y25" s="904"/>
      <c r="Z25" s="904"/>
      <c r="AA25" s="905"/>
    </row>
    <row r="26" spans="2:27" s="176" customFormat="1" ht="22.5" customHeight="1" x14ac:dyDescent="0.15">
      <c r="B26" s="1428"/>
      <c r="C26" s="1429"/>
      <c r="D26" s="1429"/>
      <c r="E26" s="1429"/>
      <c r="F26" s="1430"/>
      <c r="G26" s="203"/>
      <c r="H26" s="204" t="s">
        <v>37</v>
      </c>
      <c r="I26" s="706">
        <v>14</v>
      </c>
      <c r="J26" s="706"/>
      <c r="K26" s="1431"/>
      <c r="L26" s="1434"/>
      <c r="M26" s="1435"/>
      <c r="N26" s="1311" t="s">
        <v>78</v>
      </c>
      <c r="O26" s="1312"/>
      <c r="P26" s="1312"/>
      <c r="Q26" s="1312"/>
      <c r="R26" s="906"/>
      <c r="S26" s="907"/>
      <c r="T26" s="907"/>
      <c r="U26" s="907"/>
      <c r="V26" s="907"/>
      <c r="W26" s="907"/>
      <c r="X26" s="907"/>
      <c r="Y26" s="907"/>
      <c r="Z26" s="907"/>
      <c r="AA26" s="908"/>
    </row>
    <row r="27" spans="2:27" ht="22.5" customHeight="1" x14ac:dyDescent="0.15">
      <c r="B27" s="1311" t="s">
        <v>76</v>
      </c>
      <c r="C27" s="1312"/>
      <c r="D27" s="1312"/>
      <c r="E27" s="1312"/>
      <c r="F27" s="1313"/>
      <c r="G27" s="1311" t="s">
        <v>228</v>
      </c>
      <c r="H27" s="1313"/>
      <c r="I27" s="968">
        <v>45566</v>
      </c>
      <c r="J27" s="969"/>
      <c r="K27" s="969"/>
      <c r="L27" s="969"/>
      <c r="M27" s="970"/>
      <c r="N27" s="1153" t="s">
        <v>229</v>
      </c>
      <c r="O27" s="1155"/>
      <c r="P27" s="968">
        <v>45930</v>
      </c>
      <c r="Q27" s="969"/>
      <c r="R27" s="969"/>
      <c r="S27" s="969"/>
      <c r="T27" s="970"/>
      <c r="U27" s="205"/>
      <c r="V27" s="205"/>
      <c r="W27" s="205"/>
      <c r="X27" s="1504" t="str">
        <f>IF(H27="","",DATEVALUE(_xlfn.CONCAT(H27:N27)))</f>
        <v/>
      </c>
      <c r="Y27" s="1504"/>
      <c r="Z27" s="1504" t="str">
        <f>IF(X27="","",DATE(YEAR(X27)+1,MONTH(X27),DAY(X27)-1))</f>
        <v/>
      </c>
      <c r="AA27" s="1505"/>
    </row>
    <row r="28" spans="2:27" s="176" customFormat="1" ht="22.5" customHeight="1" x14ac:dyDescent="0.15">
      <c r="B28" s="1422" t="s">
        <v>223</v>
      </c>
      <c r="C28" s="1423"/>
      <c r="D28" s="1423"/>
      <c r="E28" s="1423"/>
      <c r="F28" s="1424"/>
      <c r="G28" s="1251" t="s">
        <v>225</v>
      </c>
      <c r="H28" s="1253"/>
      <c r="I28" s="968">
        <v>45432</v>
      </c>
      <c r="J28" s="969"/>
      <c r="K28" s="969"/>
      <c r="L28" s="969"/>
      <c r="M28" s="970"/>
      <c r="N28" s="1251" t="s">
        <v>226</v>
      </c>
      <c r="O28" s="1253"/>
      <c r="P28" s="968">
        <v>45432</v>
      </c>
      <c r="Q28" s="969"/>
      <c r="R28" s="969"/>
      <c r="S28" s="969"/>
      <c r="T28" s="970"/>
      <c r="U28" s="1251" t="s">
        <v>224</v>
      </c>
      <c r="V28" s="1253"/>
      <c r="W28" s="968">
        <v>47026</v>
      </c>
      <c r="X28" s="969"/>
      <c r="Y28" s="969"/>
      <c r="Z28" s="969"/>
      <c r="AA28" s="970"/>
    </row>
    <row r="29" spans="2:27" s="176" customFormat="1" ht="22.5" customHeight="1" x14ac:dyDescent="0.15">
      <c r="C29" s="179"/>
      <c r="D29" s="179"/>
      <c r="E29" s="179"/>
      <c r="F29" s="179"/>
      <c r="G29" s="181"/>
      <c r="H29" s="181"/>
      <c r="I29" s="181"/>
      <c r="J29" s="181"/>
      <c r="K29" s="181"/>
      <c r="L29" s="181"/>
      <c r="M29" s="181"/>
      <c r="N29" s="181"/>
      <c r="P29" s="181"/>
      <c r="Q29" s="181"/>
      <c r="R29" s="165" t="str">
        <f>IF(G23="","",IF(R25="","上段の産業分類欄は、リストから選択↑ ",IF(AND(R25="製造業",R26=""),"製造業にあっては、中分類も記載↑","")))</f>
        <v/>
      </c>
      <c r="S29" s="181"/>
      <c r="T29" s="181"/>
      <c r="U29" s="181"/>
    </row>
    <row r="30" spans="2:27" s="176" customFormat="1" ht="22.5" customHeight="1" x14ac:dyDescent="0.15">
      <c r="B30" s="1295" t="s">
        <v>97</v>
      </c>
      <c r="C30" s="1296"/>
      <c r="D30" s="1296"/>
      <c r="E30" s="1296"/>
      <c r="F30" s="1296"/>
      <c r="G30" s="1296"/>
      <c r="H30" s="1297"/>
      <c r="I30" s="877" t="s">
        <v>238</v>
      </c>
      <c r="J30" s="878"/>
      <c r="K30" s="878"/>
      <c r="L30" s="878"/>
      <c r="M30" s="879"/>
      <c r="N30" s="208" t="str">
        <f>IF(G23="","",IF(I30=""," ←雇用管理区分の設定欄は、リストから選択",IF(AND(I30="設定あり",Z32="")," ↓名称を記載し、雇用期間～時間外労働欄はリストから選択",IF(AND(I30="設定なし",B55=""),"雇用管理区分の設定がない場合は、下欄の記載は不要です。",""))))</f>
        <v/>
      </c>
      <c r="AA30" s="209"/>
    </row>
    <row r="31" spans="2:27" s="176" customFormat="1" ht="22.5" customHeight="1" x14ac:dyDescent="0.15">
      <c r="B31" s="1421" t="s">
        <v>120</v>
      </c>
      <c r="C31" s="1421"/>
      <c r="D31" s="1421"/>
      <c r="E31" s="1421"/>
      <c r="F31" s="1421"/>
      <c r="G31" s="1421"/>
      <c r="H31" s="1421"/>
      <c r="I31" s="210" t="s">
        <v>103</v>
      </c>
      <c r="J31" s="1311" t="s">
        <v>98</v>
      </c>
      <c r="K31" s="1312"/>
      <c r="L31" s="1312"/>
      <c r="M31" s="1313"/>
      <c r="N31" s="1311" t="s">
        <v>100</v>
      </c>
      <c r="O31" s="1312"/>
      <c r="P31" s="1312"/>
      <c r="Q31" s="1313"/>
      <c r="R31" s="1311" t="s">
        <v>99</v>
      </c>
      <c r="S31" s="1312"/>
      <c r="T31" s="1312"/>
      <c r="U31" s="1313"/>
      <c r="V31" s="1396" t="s">
        <v>101</v>
      </c>
      <c r="W31" s="1396"/>
      <c r="X31" s="1396" t="s">
        <v>102</v>
      </c>
      <c r="Y31" s="1396"/>
      <c r="Z31" s="1421" t="s">
        <v>43</v>
      </c>
      <c r="AA31" s="1421"/>
    </row>
    <row r="32" spans="2:27" s="176" customFormat="1" ht="22.5" customHeight="1" x14ac:dyDescent="0.15">
      <c r="B32" s="1414" t="s">
        <v>121</v>
      </c>
      <c r="C32" s="877"/>
      <c r="D32" s="878"/>
      <c r="E32" s="878"/>
      <c r="F32" s="878"/>
      <c r="G32" s="878"/>
      <c r="H32" s="879"/>
      <c r="I32" s="38"/>
      <c r="J32" s="903"/>
      <c r="K32" s="904"/>
      <c r="L32" s="904"/>
      <c r="M32" s="905"/>
      <c r="N32" s="877"/>
      <c r="O32" s="878"/>
      <c r="P32" s="878"/>
      <c r="Q32" s="879"/>
      <c r="R32" s="877"/>
      <c r="S32" s="878"/>
      <c r="T32" s="878"/>
      <c r="U32" s="879"/>
      <c r="V32" s="463"/>
      <c r="W32" s="464"/>
      <c r="X32" s="463"/>
      <c r="Y32" s="464"/>
      <c r="Z32" s="1412" t="str">
        <f>IF(V32+X32=0,"",V32+X32)</f>
        <v/>
      </c>
      <c r="AA32" s="1413"/>
    </row>
    <row r="33" spans="2:27" s="176" customFormat="1" ht="22.5" customHeight="1" x14ac:dyDescent="0.15">
      <c r="B33" s="1415"/>
      <c r="C33" s="877"/>
      <c r="D33" s="878"/>
      <c r="E33" s="878"/>
      <c r="F33" s="878"/>
      <c r="G33" s="878"/>
      <c r="H33" s="879"/>
      <c r="I33" s="38"/>
      <c r="J33" s="903"/>
      <c r="K33" s="904"/>
      <c r="L33" s="904"/>
      <c r="M33" s="905"/>
      <c r="N33" s="877"/>
      <c r="O33" s="878"/>
      <c r="P33" s="878"/>
      <c r="Q33" s="879"/>
      <c r="R33" s="945"/>
      <c r="S33" s="1420"/>
      <c r="T33" s="1420"/>
      <c r="U33" s="947"/>
      <c r="V33" s="463"/>
      <c r="W33" s="464"/>
      <c r="X33" s="463"/>
      <c r="Y33" s="464"/>
      <c r="Z33" s="1412" t="str">
        <f t="shared" ref="Z33:Z37" si="0">IF(V33+X33=0,"",V33+X33)</f>
        <v/>
      </c>
      <c r="AA33" s="1413"/>
    </row>
    <row r="34" spans="2:27" s="176" customFormat="1" ht="22.5" customHeight="1" x14ac:dyDescent="0.15">
      <c r="B34" s="1416"/>
      <c r="C34" s="877"/>
      <c r="D34" s="878"/>
      <c r="E34" s="878"/>
      <c r="F34" s="878"/>
      <c r="G34" s="878"/>
      <c r="H34" s="879"/>
      <c r="I34" s="38"/>
      <c r="J34" s="903"/>
      <c r="K34" s="904"/>
      <c r="L34" s="904"/>
      <c r="M34" s="905"/>
      <c r="N34" s="877"/>
      <c r="O34" s="878"/>
      <c r="P34" s="878"/>
      <c r="Q34" s="879"/>
      <c r="R34" s="877"/>
      <c r="S34" s="878"/>
      <c r="T34" s="878"/>
      <c r="U34" s="879"/>
      <c r="V34" s="463"/>
      <c r="W34" s="464"/>
      <c r="X34" s="463"/>
      <c r="Y34" s="464"/>
      <c r="Z34" s="1412" t="str">
        <f t="shared" si="0"/>
        <v/>
      </c>
      <c r="AA34" s="1413"/>
    </row>
    <row r="35" spans="2:27" s="176" customFormat="1" ht="22.5" customHeight="1" x14ac:dyDescent="0.15">
      <c r="B35" s="1414" t="s">
        <v>122</v>
      </c>
      <c r="C35" s="877"/>
      <c r="D35" s="878"/>
      <c r="E35" s="878"/>
      <c r="F35" s="878"/>
      <c r="G35" s="878"/>
      <c r="H35" s="879"/>
      <c r="I35" s="1417"/>
      <c r="J35" s="903"/>
      <c r="K35" s="904"/>
      <c r="L35" s="904"/>
      <c r="M35" s="905"/>
      <c r="N35" s="877"/>
      <c r="O35" s="878"/>
      <c r="P35" s="878"/>
      <c r="Q35" s="879"/>
      <c r="R35" s="877"/>
      <c r="S35" s="878"/>
      <c r="T35" s="878"/>
      <c r="U35" s="879"/>
      <c r="V35" s="463"/>
      <c r="W35" s="464"/>
      <c r="X35" s="463"/>
      <c r="Y35" s="464"/>
      <c r="Z35" s="1412" t="str">
        <f t="shared" si="0"/>
        <v/>
      </c>
      <c r="AA35" s="1413"/>
    </row>
    <row r="36" spans="2:27" s="176" customFormat="1" ht="22.5" customHeight="1" x14ac:dyDescent="0.15">
      <c r="B36" s="1415"/>
      <c r="C36" s="877"/>
      <c r="D36" s="878"/>
      <c r="E36" s="878"/>
      <c r="F36" s="878"/>
      <c r="G36" s="878"/>
      <c r="H36" s="879"/>
      <c r="I36" s="1418"/>
      <c r="J36" s="903"/>
      <c r="K36" s="904"/>
      <c r="L36" s="904"/>
      <c r="M36" s="905"/>
      <c r="N36" s="877"/>
      <c r="O36" s="878"/>
      <c r="P36" s="878"/>
      <c r="Q36" s="879"/>
      <c r="R36" s="877"/>
      <c r="S36" s="878"/>
      <c r="T36" s="878"/>
      <c r="U36" s="879"/>
      <c r="V36" s="463"/>
      <c r="W36" s="464"/>
      <c r="X36" s="463"/>
      <c r="Y36" s="464"/>
      <c r="Z36" s="1412" t="str">
        <f t="shared" si="0"/>
        <v/>
      </c>
      <c r="AA36" s="1413"/>
    </row>
    <row r="37" spans="2:27" s="176" customFormat="1" ht="22.5" customHeight="1" x14ac:dyDescent="0.15">
      <c r="B37" s="1416"/>
      <c r="C37" s="877"/>
      <c r="D37" s="878"/>
      <c r="E37" s="878"/>
      <c r="F37" s="878"/>
      <c r="G37" s="878"/>
      <c r="H37" s="879"/>
      <c r="I37" s="1419"/>
      <c r="J37" s="903"/>
      <c r="K37" s="904"/>
      <c r="L37" s="904"/>
      <c r="M37" s="905"/>
      <c r="N37" s="877"/>
      <c r="O37" s="878"/>
      <c r="P37" s="878"/>
      <c r="Q37" s="879"/>
      <c r="R37" s="877"/>
      <c r="S37" s="878"/>
      <c r="T37" s="878"/>
      <c r="U37" s="879"/>
      <c r="V37" s="463"/>
      <c r="W37" s="464"/>
      <c r="X37" s="463"/>
      <c r="Y37" s="464"/>
      <c r="Z37" s="1412" t="str">
        <f t="shared" si="0"/>
        <v/>
      </c>
      <c r="AA37" s="1413"/>
    </row>
    <row r="38" spans="2:27" s="188" customFormat="1" ht="27.75" customHeight="1" x14ac:dyDescent="0.15">
      <c r="B38" s="1410" t="s">
        <v>233</v>
      </c>
      <c r="C38" s="1411"/>
      <c r="D38" s="1411"/>
      <c r="E38" s="1411"/>
      <c r="F38" s="1411"/>
      <c r="G38" s="1411"/>
      <c r="H38" s="1411"/>
      <c r="I38" s="1411"/>
      <c r="J38" s="1411"/>
      <c r="K38" s="1411"/>
      <c r="L38" s="1411"/>
      <c r="M38" s="1411"/>
      <c r="N38" s="1411"/>
      <c r="O38" s="1411"/>
      <c r="P38" s="1411"/>
      <c r="Q38" s="1411"/>
      <c r="R38" s="1411"/>
      <c r="S38" s="1411"/>
      <c r="T38" s="1411"/>
      <c r="U38" s="1411"/>
      <c r="V38" s="1411"/>
      <c r="W38" s="1411"/>
      <c r="X38" s="1411"/>
      <c r="Y38" s="1411"/>
      <c r="Z38" s="1411"/>
      <c r="AA38" s="1411"/>
    </row>
    <row r="39" spans="2:27" s="188" customFormat="1" ht="17.25" customHeight="1" x14ac:dyDescent="0.15">
      <c r="B39" s="39"/>
      <c r="C39" s="190"/>
      <c r="D39" s="190"/>
      <c r="U39" s="189"/>
      <c r="W39" s="189"/>
      <c r="Y39" s="189"/>
      <c r="AA39" s="190"/>
    </row>
    <row r="40" spans="2:27" s="176" customFormat="1" ht="22.5" customHeight="1" x14ac:dyDescent="0.15">
      <c r="B40" s="1311" t="s">
        <v>94</v>
      </c>
      <c r="C40" s="1312"/>
      <c r="D40" s="1312"/>
      <c r="E40" s="1312"/>
      <c r="F40" s="1313"/>
      <c r="G40" s="1311" t="s">
        <v>227</v>
      </c>
      <c r="H40" s="1313"/>
      <c r="I40" s="877" t="s">
        <v>274</v>
      </c>
      <c r="J40" s="878"/>
      <c r="K40" s="878"/>
      <c r="L40" s="878"/>
      <c r="M40" s="879"/>
      <c r="N40" s="1311" t="s">
        <v>91</v>
      </c>
      <c r="O40" s="1313"/>
      <c r="P40" s="398" t="s">
        <v>275</v>
      </c>
      <c r="Q40" s="399"/>
      <c r="R40" s="399"/>
      <c r="S40" s="399"/>
      <c r="T40" s="400"/>
      <c r="U40" s="1311" t="s">
        <v>80</v>
      </c>
      <c r="V40" s="1313"/>
      <c r="W40" s="398" t="s">
        <v>276</v>
      </c>
      <c r="X40" s="399"/>
      <c r="Y40" s="399"/>
      <c r="Z40" s="399"/>
      <c r="AA40" s="400"/>
    </row>
    <row r="41" spans="2:27" s="176" customFormat="1" ht="22.5" customHeight="1" x14ac:dyDescent="0.15">
      <c r="B41" s="1311" t="s">
        <v>95</v>
      </c>
      <c r="C41" s="1312"/>
      <c r="D41" s="1312"/>
      <c r="E41" s="1312"/>
      <c r="F41" s="1313"/>
      <c r="G41" s="1311" t="s">
        <v>96</v>
      </c>
      <c r="H41" s="1313"/>
      <c r="I41" s="877" t="s">
        <v>277</v>
      </c>
      <c r="J41" s="878"/>
      <c r="K41" s="878"/>
      <c r="L41" s="878"/>
      <c r="M41" s="879"/>
      <c r="N41" s="1311" t="s">
        <v>93</v>
      </c>
      <c r="O41" s="1313"/>
      <c r="P41" s="877" t="s">
        <v>278</v>
      </c>
      <c r="Q41" s="878"/>
      <c r="R41" s="878"/>
      <c r="S41" s="878"/>
      <c r="T41" s="878"/>
      <c r="U41" s="878"/>
      <c r="V41" s="878"/>
      <c r="W41" s="878"/>
      <c r="X41" s="878"/>
      <c r="Y41" s="878"/>
      <c r="Z41" s="878"/>
      <c r="AA41" s="879"/>
    </row>
    <row r="42" spans="2:27" s="188" customFormat="1" ht="17.25" customHeight="1" x14ac:dyDescent="0.15">
      <c r="B42" s="39"/>
      <c r="C42" s="190"/>
      <c r="D42" s="190"/>
      <c r="U42" s="190"/>
      <c r="V42" s="190"/>
      <c r="W42" s="190"/>
      <c r="X42" s="190"/>
      <c r="Y42" s="190"/>
      <c r="Z42" s="190"/>
      <c r="AA42" s="190"/>
    </row>
    <row r="43" spans="2:27" ht="30.75" customHeight="1" x14ac:dyDescent="0.15">
      <c r="B43" s="211" t="s">
        <v>154</v>
      </c>
      <c r="H43" s="211"/>
      <c r="AA43" s="212" t="str">
        <f>IF(G$23="","",G$23)</f>
        <v>株式会社参画企画</v>
      </c>
    </row>
    <row r="44" spans="2:27" ht="17.25" customHeight="1" x14ac:dyDescent="0.15">
      <c r="B44" s="213" t="s">
        <v>147</v>
      </c>
      <c r="C44" s="214"/>
      <c r="D44" s="214"/>
      <c r="F44" s="214"/>
      <c r="G44" s="214"/>
      <c r="H44" s="214"/>
      <c r="I44" s="214"/>
      <c r="J44" s="214"/>
      <c r="K44" s="214"/>
      <c r="L44" s="214"/>
      <c r="M44" s="214"/>
      <c r="N44" s="214"/>
      <c r="O44" s="214"/>
      <c r="P44" s="214"/>
      <c r="Q44" s="214"/>
      <c r="R44" s="214"/>
      <c r="S44" s="214"/>
      <c r="T44" s="214"/>
      <c r="U44" s="214"/>
      <c r="V44" s="214"/>
      <c r="W44" s="214"/>
      <c r="X44" s="214"/>
      <c r="Y44" s="214"/>
      <c r="Z44" s="214"/>
      <c r="AA44" s="215"/>
    </row>
    <row r="45" spans="2:27" s="176" customFormat="1" ht="17.25" customHeight="1" x14ac:dyDescent="0.15">
      <c r="B45" s="1407" t="s">
        <v>124</v>
      </c>
      <c r="C45" s="1408"/>
      <c r="D45" s="1408"/>
      <c r="E45" s="1408"/>
      <c r="F45" s="1408"/>
      <c r="G45" s="1408"/>
      <c r="H45" s="1408"/>
      <c r="I45" s="1408"/>
      <c r="J45" s="1408"/>
      <c r="K45" s="1408"/>
      <c r="L45" s="1408"/>
      <c r="M45" s="1408"/>
      <c r="N45" s="1408"/>
      <c r="O45" s="1408"/>
      <c r="P45" s="1408"/>
      <c r="Q45" s="1408"/>
      <c r="R45" s="1408"/>
      <c r="S45" s="1408"/>
      <c r="T45" s="1408"/>
      <c r="U45" s="1408"/>
      <c r="V45" s="1408"/>
      <c r="W45" s="1408"/>
      <c r="X45" s="1408"/>
      <c r="Y45" s="1408"/>
      <c r="Z45" s="1408"/>
      <c r="AA45" s="1409"/>
    </row>
    <row r="46" spans="2:27" s="176" customFormat="1" ht="37.5" customHeight="1" x14ac:dyDescent="0.15">
      <c r="B46" s="1397" t="s">
        <v>146</v>
      </c>
      <c r="C46" s="1398"/>
      <c r="D46" s="1398"/>
      <c r="E46" s="1398"/>
      <c r="F46" s="1398"/>
      <c r="G46" s="1398"/>
      <c r="H46" s="1398"/>
      <c r="I46" s="1398"/>
      <c r="J46" s="1398"/>
      <c r="K46" s="1398"/>
      <c r="L46" s="1398"/>
      <c r="M46" s="1398"/>
      <c r="N46" s="1398"/>
      <c r="O46" s="1398"/>
      <c r="P46" s="1398"/>
      <c r="Q46" s="1398"/>
      <c r="R46" s="1398"/>
      <c r="S46" s="1398"/>
      <c r="T46" s="1398"/>
      <c r="U46" s="1398"/>
      <c r="V46" s="1398"/>
      <c r="W46" s="1398"/>
      <c r="X46" s="1398"/>
      <c r="Y46" s="1398"/>
      <c r="Z46" s="1398"/>
      <c r="AA46" s="1399"/>
    </row>
    <row r="47" spans="2:27" s="176" customFormat="1" ht="27" customHeight="1" x14ac:dyDescent="0.15">
      <c r="B47" s="1397" t="s">
        <v>125</v>
      </c>
      <c r="C47" s="1398"/>
      <c r="D47" s="1398"/>
      <c r="E47" s="1398"/>
      <c r="F47" s="1398"/>
      <c r="G47" s="1398"/>
      <c r="H47" s="1398"/>
      <c r="I47" s="1398"/>
      <c r="J47" s="1398"/>
      <c r="K47" s="1398"/>
      <c r="L47" s="1398"/>
      <c r="M47" s="1398"/>
      <c r="N47" s="1398"/>
      <c r="O47" s="1398"/>
      <c r="P47" s="1398"/>
      <c r="Q47" s="1398"/>
      <c r="R47" s="1398"/>
      <c r="S47" s="1398"/>
      <c r="T47" s="1398"/>
      <c r="U47" s="1398"/>
      <c r="V47" s="1398"/>
      <c r="W47" s="1398"/>
      <c r="X47" s="1398"/>
      <c r="Y47" s="1398"/>
      <c r="Z47" s="1398"/>
      <c r="AA47" s="1399"/>
    </row>
    <row r="48" spans="2:27" s="176" customFormat="1" ht="17.25" customHeight="1" x14ac:dyDescent="0.15">
      <c r="B48" s="1400" t="s">
        <v>13</v>
      </c>
      <c r="C48" s="1398"/>
      <c r="D48" s="1398"/>
      <c r="E48" s="1398"/>
      <c r="F48" s="1398"/>
      <c r="G48" s="1398"/>
      <c r="H48" s="1398"/>
      <c r="I48" s="1398"/>
      <c r="J48" s="1398"/>
      <c r="K48" s="1398"/>
      <c r="L48" s="1398"/>
      <c r="M48" s="1398"/>
      <c r="N48" s="1398"/>
      <c r="O48" s="1398"/>
      <c r="P48" s="1398"/>
      <c r="Q48" s="1398"/>
      <c r="R48" s="1398"/>
      <c r="S48" s="1398"/>
      <c r="T48" s="1398"/>
      <c r="U48" s="1398"/>
      <c r="V48" s="1398"/>
      <c r="W48" s="1398"/>
      <c r="X48" s="1398"/>
      <c r="Y48" s="1398"/>
      <c r="Z48" s="1398"/>
      <c r="AA48" s="1399"/>
    </row>
    <row r="49" spans="2:27" ht="27" customHeight="1" x14ac:dyDescent="0.15">
      <c r="B49" s="1401" t="s">
        <v>86</v>
      </c>
      <c r="C49" s="1402"/>
      <c r="D49" s="1402"/>
      <c r="E49" s="1402"/>
      <c r="F49" s="1402"/>
      <c r="G49" s="1402"/>
      <c r="H49" s="1402"/>
      <c r="I49" s="1402"/>
      <c r="J49" s="1402"/>
      <c r="K49" s="1402"/>
      <c r="L49" s="1402"/>
      <c r="M49" s="1402"/>
      <c r="N49" s="1402"/>
      <c r="O49" s="1402"/>
      <c r="P49" s="1402"/>
      <c r="Q49" s="1402"/>
      <c r="R49" s="1402"/>
      <c r="S49" s="1402"/>
      <c r="T49" s="1402"/>
      <c r="U49" s="1402"/>
      <c r="V49" s="1402"/>
      <c r="W49" s="1402"/>
      <c r="X49" s="1402"/>
      <c r="Y49" s="1402"/>
      <c r="Z49" s="1402"/>
      <c r="AA49" s="1403"/>
    </row>
    <row r="50" spans="2:27" ht="17.25" customHeight="1" x14ac:dyDescent="0.15">
      <c r="H50" s="216"/>
    </row>
    <row r="51" spans="2:27" ht="17.25" customHeight="1" x14ac:dyDescent="0.15">
      <c r="B51" s="217" t="s">
        <v>128</v>
      </c>
    </row>
    <row r="52" spans="2:27" ht="16.5" customHeight="1" thickBot="1" x14ac:dyDescent="0.2">
      <c r="C52" s="218" t="s">
        <v>240</v>
      </c>
      <c r="D52" s="218"/>
      <c r="E52" s="218"/>
      <c r="F52" s="218"/>
      <c r="G52" s="218"/>
      <c r="H52" s="218"/>
      <c r="I52" s="218"/>
      <c r="J52" s="218"/>
      <c r="K52" s="218"/>
      <c r="L52" s="218"/>
      <c r="M52" s="218"/>
      <c r="N52" s="218"/>
      <c r="O52" s="218"/>
      <c r="P52" s="218"/>
      <c r="Q52" s="218"/>
      <c r="R52" s="218"/>
      <c r="S52" s="218"/>
      <c r="T52" s="218"/>
      <c r="U52" s="218"/>
      <c r="V52" s="218"/>
      <c r="W52" s="218"/>
      <c r="X52" s="218"/>
      <c r="Y52" s="218"/>
      <c r="Z52" s="218"/>
      <c r="AA52" s="218"/>
    </row>
    <row r="53" spans="2:27" ht="17.25" customHeight="1" thickTop="1" x14ac:dyDescent="0.15">
      <c r="H53" s="1404" t="s">
        <v>40</v>
      </c>
      <c r="I53" s="1405"/>
      <c r="J53" s="1405"/>
      <c r="K53" s="1405"/>
      <c r="L53" s="1405"/>
      <c r="M53" s="1405"/>
      <c r="N53" s="1405"/>
      <c r="O53" s="1405"/>
      <c r="P53" s="1405"/>
      <c r="Q53" s="1406"/>
      <c r="R53" s="1404" t="s">
        <v>41</v>
      </c>
      <c r="S53" s="1405"/>
      <c r="T53" s="1405"/>
      <c r="U53" s="1405"/>
      <c r="V53" s="1405"/>
      <c r="W53" s="1405"/>
      <c r="X53" s="1405"/>
      <c r="Y53" s="1405"/>
      <c r="Z53" s="1227" t="s">
        <v>178</v>
      </c>
      <c r="AA53" s="1228"/>
    </row>
    <row r="54" spans="2:27" s="172" customFormat="1" ht="47.25" customHeight="1" x14ac:dyDescent="0.15">
      <c r="B54" s="1396" t="s">
        <v>0</v>
      </c>
      <c r="C54" s="1396"/>
      <c r="D54" s="1396"/>
      <c r="E54" s="219"/>
      <c r="F54" s="1395" t="s">
        <v>70</v>
      </c>
      <c r="G54" s="1396"/>
      <c r="H54" s="1395" t="s">
        <v>58</v>
      </c>
      <c r="I54" s="1396"/>
      <c r="J54" s="1395" t="s">
        <v>59</v>
      </c>
      <c r="K54" s="1396"/>
      <c r="L54" s="1395" t="s">
        <v>60</v>
      </c>
      <c r="M54" s="1396"/>
      <c r="N54" s="1395" t="s">
        <v>4</v>
      </c>
      <c r="O54" s="1085"/>
      <c r="P54" s="1395" t="s">
        <v>7</v>
      </c>
      <c r="Q54" s="1396"/>
      <c r="R54" s="1087" t="s">
        <v>55</v>
      </c>
      <c r="S54" s="1396"/>
      <c r="T54" s="1395" t="s">
        <v>56</v>
      </c>
      <c r="U54" s="1396"/>
      <c r="V54" s="1395" t="s">
        <v>57</v>
      </c>
      <c r="W54" s="1088"/>
      <c r="X54" s="1395" t="s">
        <v>6</v>
      </c>
      <c r="Y54" s="1085"/>
      <c r="Z54" s="1391"/>
      <c r="AA54" s="1392"/>
    </row>
    <row r="55" spans="2:27" s="172" customFormat="1" ht="17.25" customHeight="1" x14ac:dyDescent="0.15">
      <c r="B55" s="612" t="s">
        <v>279</v>
      </c>
      <c r="C55" s="613"/>
      <c r="D55" s="614"/>
      <c r="E55" s="220" t="str">
        <f>IF(B55="","",B55&amp;F55)</f>
        <v>なし45566</v>
      </c>
      <c r="F55" s="1503">
        <f>IF(OR($I$27="",B55=""),"",DATE(YEAR($I$27),MONTH($I$27),DAY($I$27)))</f>
        <v>45566</v>
      </c>
      <c r="G55" s="1503"/>
      <c r="H55" s="860">
        <v>1</v>
      </c>
      <c r="I55" s="860"/>
      <c r="J55" s="860">
        <v>1</v>
      </c>
      <c r="K55" s="860"/>
      <c r="L55" s="1380">
        <f>IF(F55="","",IF(J55&lt;1,"－",ROUND(H55/J55,2)))</f>
        <v>1</v>
      </c>
      <c r="M55" s="1381"/>
      <c r="N55" s="1393" t="str">
        <f>IF(F55="","",IF(OR(J55&lt;1,J56&lt;1,J57&lt;1),"－",ROUND(SUM(L55:M57)/3,2)))</f>
        <v>－</v>
      </c>
      <c r="O55" s="1394"/>
      <c r="P55" s="1393" t="str">
        <f>IF(F55="","",IF(N55="－",N55,ROUND(N55*0.8,2)))</f>
        <v>－</v>
      </c>
      <c r="Q55" s="1393"/>
      <c r="R55" s="464">
        <v>0</v>
      </c>
      <c r="S55" s="860"/>
      <c r="T55" s="860">
        <v>0</v>
      </c>
      <c r="U55" s="860"/>
      <c r="V55" s="1380" t="str">
        <f>IF(F55="","",IF(T55&lt;1,"－",ROUND(R55/T55,2)))</f>
        <v>－</v>
      </c>
      <c r="W55" s="1389"/>
      <c r="X55" s="1393" t="str">
        <f>IF(F55="","",IF(OR(T55&lt;1,T56&lt;1,T57&lt;1),"－",ROUND(SUM(V55:W57)/3,2)))</f>
        <v>－</v>
      </c>
      <c r="Y55" s="1394"/>
      <c r="Z55" s="1231" t="str">
        <f>IF(B55="","",IF(OR(P55="－",X55="－"),"比較不能",IF(P55&lt;X55,"Ｃ＜Ｂ","Ｃ≧Ｂ")))</f>
        <v>比較不能</v>
      </c>
      <c r="AA55" s="1232"/>
    </row>
    <row r="56" spans="2:27" s="172" customFormat="1" ht="17.25" customHeight="1" x14ac:dyDescent="0.15">
      <c r="B56" s="615"/>
      <c r="C56" s="1240"/>
      <c r="D56" s="617"/>
      <c r="E56" s="220" t="str">
        <f>IF(B55="","",B55&amp;F56)</f>
        <v>なし45200</v>
      </c>
      <c r="F56" s="1503">
        <f>IF(OR($I$27="",B55=""),"",DATE(YEAR($I$27)-1,MONTH($I$27),DAY($I$27)))</f>
        <v>45200</v>
      </c>
      <c r="G56" s="1503"/>
      <c r="H56" s="860">
        <v>0</v>
      </c>
      <c r="I56" s="860"/>
      <c r="J56" s="860">
        <v>0</v>
      </c>
      <c r="K56" s="860"/>
      <c r="L56" s="1380" t="str">
        <f>IF(F56="","",IF(J56&lt;1,"－",ROUND(H56/J56,2)))</f>
        <v>－</v>
      </c>
      <c r="M56" s="1381"/>
      <c r="N56" s="1393"/>
      <c r="O56" s="1394"/>
      <c r="P56" s="1393"/>
      <c r="Q56" s="1393"/>
      <c r="R56" s="464">
        <v>0</v>
      </c>
      <c r="S56" s="860"/>
      <c r="T56" s="860">
        <v>0</v>
      </c>
      <c r="U56" s="860"/>
      <c r="V56" s="1380" t="str">
        <f t="shared" ref="V56:V63" si="1">IF(F56="","",IF(T56&lt;1,"－",ROUND(R56/T56,2)))</f>
        <v>－</v>
      </c>
      <c r="W56" s="1389"/>
      <c r="X56" s="1393"/>
      <c r="Y56" s="1394"/>
      <c r="Z56" s="1221"/>
      <c r="AA56" s="1222"/>
    </row>
    <row r="57" spans="2:27" s="172" customFormat="1" ht="17.25" customHeight="1" x14ac:dyDescent="0.15">
      <c r="B57" s="618"/>
      <c r="C57" s="619"/>
      <c r="D57" s="620"/>
      <c r="E57" s="220" t="str">
        <f>IF(B55="","",B55&amp;F57)</f>
        <v>なし44835</v>
      </c>
      <c r="F57" s="1503">
        <f>IF(OR($I$27="",B55=""),"",DATE(YEAR($I$27)-2,MONTH($I$27),DAY($I$27)))</f>
        <v>44835</v>
      </c>
      <c r="G57" s="1503"/>
      <c r="H57" s="860">
        <v>0</v>
      </c>
      <c r="I57" s="860"/>
      <c r="J57" s="860">
        <v>0</v>
      </c>
      <c r="K57" s="860"/>
      <c r="L57" s="1380" t="str">
        <f t="shared" ref="L57:L62" si="2">IF(F57="","",IF(J57&lt;1,"－",ROUND(H57/J57,2)))</f>
        <v>－</v>
      </c>
      <c r="M57" s="1381"/>
      <c r="N57" s="1393"/>
      <c r="O57" s="1394"/>
      <c r="P57" s="1393"/>
      <c r="Q57" s="1393"/>
      <c r="R57" s="464">
        <v>1</v>
      </c>
      <c r="S57" s="860"/>
      <c r="T57" s="860">
        <v>1</v>
      </c>
      <c r="U57" s="860"/>
      <c r="V57" s="1380">
        <f t="shared" si="1"/>
        <v>1</v>
      </c>
      <c r="W57" s="1389"/>
      <c r="X57" s="1393"/>
      <c r="Y57" s="1394"/>
      <c r="Z57" s="1391"/>
      <c r="AA57" s="1392"/>
    </row>
    <row r="58" spans="2:27" s="172" customFormat="1" ht="17.25" customHeight="1" x14ac:dyDescent="0.15">
      <c r="B58" s="847"/>
      <c r="C58" s="847"/>
      <c r="D58" s="847"/>
      <c r="E58" s="220" t="str">
        <f>IF(B58="","",B58&amp;F58)</f>
        <v/>
      </c>
      <c r="F58" s="1503" t="str">
        <f>IF(OR($I$27="",B58=""),"",DATE(YEAR($I$27),MONTH($I$27),DAY($I$27)))</f>
        <v/>
      </c>
      <c r="G58" s="1503"/>
      <c r="H58" s="860"/>
      <c r="I58" s="860"/>
      <c r="J58" s="860"/>
      <c r="K58" s="860"/>
      <c r="L58" s="1380" t="str">
        <f t="shared" si="2"/>
        <v/>
      </c>
      <c r="M58" s="1381"/>
      <c r="N58" s="1387" t="str">
        <f>IF(F58="","",IF(OR(J58&lt;1,J59&lt;1,J60&lt;1),"－",ROUND(SUM(L58:M60)/3,2)))</f>
        <v/>
      </c>
      <c r="O58" s="1380"/>
      <c r="P58" s="1387" t="str">
        <f>IF(F58="","",IF(N58="－",N58,ROUND(N58*0.8,2)))</f>
        <v/>
      </c>
      <c r="Q58" s="1387"/>
      <c r="R58" s="464"/>
      <c r="S58" s="860"/>
      <c r="T58" s="860"/>
      <c r="U58" s="860"/>
      <c r="V58" s="1380" t="str">
        <f t="shared" si="1"/>
        <v/>
      </c>
      <c r="W58" s="1389"/>
      <c r="X58" s="1387" t="str">
        <f>IF(F58="","",IF(OR(T58&lt;1,T59&lt;1,T60&lt;1),"－",ROUND(SUM(V58:W60)/3,2)))</f>
        <v/>
      </c>
      <c r="Y58" s="1380"/>
      <c r="Z58" s="1231" t="str">
        <f>IF(B58="","",IF(OR(P58="－",X58="－"),"比較不能",IF(P58&lt;X58,"Ｃ＜Ｂ","Ｃ≧Ｂ")))</f>
        <v/>
      </c>
      <c r="AA58" s="1232"/>
    </row>
    <row r="59" spans="2:27" s="172" customFormat="1" ht="17.25" customHeight="1" x14ac:dyDescent="0.15">
      <c r="B59" s="847"/>
      <c r="C59" s="847"/>
      <c r="D59" s="847"/>
      <c r="E59" s="220" t="str">
        <f>IF(B58="","",B58&amp;F59)</f>
        <v/>
      </c>
      <c r="F59" s="1503" t="str">
        <f>IF(OR($I$27="",B58=""),"",DATE(YEAR($I$27)-1,MONTH($I$27),DAY($I$27)))</f>
        <v/>
      </c>
      <c r="G59" s="1503"/>
      <c r="H59" s="860"/>
      <c r="I59" s="860"/>
      <c r="J59" s="860"/>
      <c r="K59" s="860"/>
      <c r="L59" s="1380" t="str">
        <f t="shared" si="2"/>
        <v/>
      </c>
      <c r="M59" s="1381"/>
      <c r="N59" s="1387"/>
      <c r="O59" s="1380"/>
      <c r="P59" s="1387"/>
      <c r="Q59" s="1387"/>
      <c r="R59" s="464"/>
      <c r="S59" s="860"/>
      <c r="T59" s="860"/>
      <c r="U59" s="860"/>
      <c r="V59" s="1380" t="str">
        <f t="shared" si="1"/>
        <v/>
      </c>
      <c r="W59" s="1389"/>
      <c r="X59" s="1387"/>
      <c r="Y59" s="1380"/>
      <c r="Z59" s="1221"/>
      <c r="AA59" s="1222"/>
    </row>
    <row r="60" spans="2:27" s="172" customFormat="1" ht="17.25" customHeight="1" x14ac:dyDescent="0.15">
      <c r="B60" s="847"/>
      <c r="C60" s="847"/>
      <c r="D60" s="847"/>
      <c r="E60" s="220" t="str">
        <f>IF(B58="","",B58&amp;F60)</f>
        <v/>
      </c>
      <c r="F60" s="1503" t="str">
        <f>IF(OR($I$27="",B58=""),"",DATE(YEAR($I$27)-2,MONTH($I$27),DAY($I$27)))</f>
        <v/>
      </c>
      <c r="G60" s="1503"/>
      <c r="H60" s="860"/>
      <c r="I60" s="860"/>
      <c r="J60" s="860"/>
      <c r="K60" s="860"/>
      <c r="L60" s="1380" t="str">
        <f t="shared" si="2"/>
        <v/>
      </c>
      <c r="M60" s="1381"/>
      <c r="N60" s="1387"/>
      <c r="O60" s="1380"/>
      <c r="P60" s="1387"/>
      <c r="Q60" s="1387"/>
      <c r="R60" s="464"/>
      <c r="S60" s="860"/>
      <c r="T60" s="860"/>
      <c r="U60" s="860"/>
      <c r="V60" s="1380" t="str">
        <f t="shared" si="1"/>
        <v/>
      </c>
      <c r="W60" s="1389"/>
      <c r="X60" s="1387"/>
      <c r="Y60" s="1380"/>
      <c r="Z60" s="1391"/>
      <c r="AA60" s="1392"/>
    </row>
    <row r="61" spans="2:27" s="172" customFormat="1" ht="17.25" customHeight="1" x14ac:dyDescent="0.15">
      <c r="B61" s="846"/>
      <c r="C61" s="846"/>
      <c r="D61" s="846"/>
      <c r="E61" s="220" t="str">
        <f>IF(B61="","",B61&amp;F61)</f>
        <v/>
      </c>
      <c r="F61" s="1503" t="str">
        <f>IF(OR($I$27="",B61=""),"",DATE(YEAR($I$27),MONTH($I$27),DAY($I$27)))</f>
        <v/>
      </c>
      <c r="G61" s="1503"/>
      <c r="H61" s="849"/>
      <c r="I61" s="849"/>
      <c r="J61" s="849"/>
      <c r="K61" s="849"/>
      <c r="L61" s="1380" t="str">
        <f t="shared" si="2"/>
        <v/>
      </c>
      <c r="M61" s="1381"/>
      <c r="N61" s="1387" t="str">
        <f>IF(F61="","",IF(OR(J61&lt;1,J62&lt;1,J63&lt;1),"－",ROUND(SUM(L61:M63)/3,2)))</f>
        <v/>
      </c>
      <c r="O61" s="1380"/>
      <c r="P61" s="1387" t="str">
        <f>IF(F61="","",IF(N61="－",N61,ROUND(N61*0.8,2)))</f>
        <v/>
      </c>
      <c r="Q61" s="1387"/>
      <c r="R61" s="705"/>
      <c r="S61" s="849"/>
      <c r="T61" s="849"/>
      <c r="U61" s="849"/>
      <c r="V61" s="1380" t="str">
        <f t="shared" si="1"/>
        <v/>
      </c>
      <c r="W61" s="1389"/>
      <c r="X61" s="1387" t="str">
        <f>IF(F61="","",IF(OR(T61&lt;1,T62&lt;1,T63&lt;1),"－",ROUND(SUM(V61:W63)/3,2)))</f>
        <v/>
      </c>
      <c r="Y61" s="1380"/>
      <c r="Z61" s="1231" t="str">
        <f>IF(B61="","",IF(OR(P61="－",X61="－"),"比較不能",IF(P61&lt;X61,"Ｃ＜Ｂ","Ｃ≧Ｂ")))</f>
        <v/>
      </c>
      <c r="AA61" s="1232"/>
    </row>
    <row r="62" spans="2:27" s="172" customFormat="1" ht="17.25" customHeight="1" x14ac:dyDescent="0.15">
      <c r="B62" s="847"/>
      <c r="C62" s="847"/>
      <c r="D62" s="847"/>
      <c r="E62" s="220" t="str">
        <f>IF(B61="","",B61&amp;F62)</f>
        <v/>
      </c>
      <c r="F62" s="1503" t="str">
        <f>IF(OR($I$27="",B61=""),"",DATE(YEAR($I$27)-1,MONTH($I$27),DAY($I$27)))</f>
        <v/>
      </c>
      <c r="G62" s="1503"/>
      <c r="H62" s="860"/>
      <c r="I62" s="860"/>
      <c r="J62" s="860"/>
      <c r="K62" s="860"/>
      <c r="L62" s="1380" t="str">
        <f t="shared" si="2"/>
        <v/>
      </c>
      <c r="M62" s="1381"/>
      <c r="N62" s="1387"/>
      <c r="O62" s="1380"/>
      <c r="P62" s="1387"/>
      <c r="Q62" s="1387"/>
      <c r="R62" s="464"/>
      <c r="S62" s="860"/>
      <c r="T62" s="860"/>
      <c r="U62" s="860"/>
      <c r="V62" s="1380" t="str">
        <f t="shared" si="1"/>
        <v/>
      </c>
      <c r="W62" s="1389"/>
      <c r="X62" s="1387"/>
      <c r="Y62" s="1380"/>
      <c r="Z62" s="1221"/>
      <c r="AA62" s="1222"/>
    </row>
    <row r="63" spans="2:27" s="172" customFormat="1" ht="17.25" customHeight="1" thickBot="1" x14ac:dyDescent="0.2">
      <c r="B63" s="847"/>
      <c r="C63" s="847"/>
      <c r="D63" s="847"/>
      <c r="E63" s="221" t="str">
        <f>IF(B61="","",B61&amp;F63)</f>
        <v/>
      </c>
      <c r="F63" s="1503" t="str">
        <f>IF(OR($I$27="",B61=""),"",DATE(YEAR($I$27)-2,MONTH($I$27),DAY($I$27)))</f>
        <v/>
      </c>
      <c r="G63" s="1503"/>
      <c r="H63" s="861"/>
      <c r="I63" s="861"/>
      <c r="J63" s="861"/>
      <c r="K63" s="861"/>
      <c r="L63" s="1385" t="str">
        <f>IF(F63="","",IF(J63&lt;1,"－",ROUND(H63/J63,2)))</f>
        <v/>
      </c>
      <c r="M63" s="1386"/>
      <c r="N63" s="1388"/>
      <c r="O63" s="1385"/>
      <c r="P63" s="1388"/>
      <c r="Q63" s="1388"/>
      <c r="R63" s="863"/>
      <c r="S63" s="861"/>
      <c r="T63" s="861"/>
      <c r="U63" s="861"/>
      <c r="V63" s="1385" t="str">
        <f t="shared" si="1"/>
        <v/>
      </c>
      <c r="W63" s="1390"/>
      <c r="X63" s="1388"/>
      <c r="Y63" s="1385"/>
      <c r="Z63" s="1221"/>
      <c r="AA63" s="1222"/>
    </row>
    <row r="64" spans="2:27" ht="27" customHeight="1" thickTop="1" thickBot="1" x14ac:dyDescent="0.2">
      <c r="C64" s="172"/>
      <c r="D64" s="172"/>
      <c r="E64" s="172"/>
      <c r="F64" s="1287" t="s">
        <v>194</v>
      </c>
      <c r="G64" s="1288"/>
      <c r="H64" s="1288"/>
      <c r="I64" s="1288"/>
      <c r="J64" s="1288"/>
      <c r="K64" s="1288"/>
      <c r="L64" s="1288"/>
      <c r="M64" s="1288"/>
      <c r="N64" s="1288"/>
      <c r="O64" s="1288"/>
      <c r="P64" s="1288"/>
      <c r="Q64" s="1288"/>
      <c r="R64" s="1288"/>
      <c r="S64" s="1288"/>
      <c r="T64" s="1288"/>
      <c r="U64" s="1288"/>
      <c r="V64" s="1288"/>
      <c r="W64" s="1288"/>
      <c r="X64" s="751" t="s">
        <v>267</v>
      </c>
      <c r="Y64" s="751"/>
      <c r="Z64" s="751"/>
      <c r="AA64" s="752"/>
    </row>
    <row r="65" spans="2:27" ht="17.25" customHeight="1" thickTop="1" x14ac:dyDescent="0.15">
      <c r="AA65" s="165" t="str">
        <f>IF(G23="","",IF(X64="","リストから選択↑　",""))</f>
        <v/>
      </c>
    </row>
    <row r="66" spans="2:27" ht="16.5" customHeight="1" x14ac:dyDescent="0.15">
      <c r="B66" s="1078" t="s">
        <v>207</v>
      </c>
      <c r="C66" s="1078"/>
      <c r="D66" s="1078"/>
      <c r="E66" s="1078"/>
      <c r="F66" s="1078"/>
      <c r="G66" s="1078"/>
      <c r="H66" s="1078"/>
      <c r="I66" s="1078"/>
      <c r="J66" s="1078"/>
      <c r="K66" s="1078"/>
      <c r="L66" s="1078"/>
      <c r="M66" s="1078"/>
      <c r="N66" s="1078"/>
      <c r="O66" s="1078"/>
      <c r="P66" s="1078"/>
      <c r="Q66" s="1078"/>
      <c r="R66" s="1078"/>
      <c r="S66" s="1078"/>
      <c r="T66" s="1078"/>
      <c r="U66" s="1078"/>
      <c r="V66" s="1078"/>
      <c r="W66" s="1078"/>
      <c r="X66" s="1078"/>
      <c r="Y66" s="1078"/>
      <c r="Z66" s="1078"/>
      <c r="AA66" s="1078"/>
    </row>
    <row r="67" spans="2:27" ht="27.75" customHeight="1" x14ac:dyDescent="0.15">
      <c r="B67" s="222"/>
      <c r="C67" s="1078" t="s">
        <v>241</v>
      </c>
      <c r="D67" s="1078"/>
      <c r="E67" s="1078"/>
      <c r="F67" s="1078"/>
      <c r="G67" s="1078"/>
      <c r="H67" s="1078"/>
      <c r="I67" s="1078"/>
      <c r="J67" s="1078"/>
      <c r="K67" s="1078"/>
      <c r="L67" s="1078"/>
      <c r="M67" s="1078"/>
      <c r="N67" s="1078"/>
      <c r="O67" s="1078"/>
      <c r="P67" s="1078"/>
      <c r="Q67" s="1078"/>
      <c r="R67" s="1078"/>
      <c r="S67" s="1078"/>
      <c r="T67" s="1078"/>
      <c r="U67" s="1078"/>
      <c r="V67" s="1078"/>
      <c r="W67" s="1078"/>
      <c r="X67" s="1078"/>
      <c r="Y67" s="1078"/>
      <c r="Z67" s="1078"/>
      <c r="AA67" s="1078"/>
    </row>
    <row r="68" spans="2:27" ht="17.25" customHeight="1" x14ac:dyDescent="0.15">
      <c r="H68" s="1137" t="s">
        <v>40</v>
      </c>
      <c r="I68" s="1138"/>
      <c r="J68" s="1138"/>
      <c r="K68" s="1139"/>
      <c r="L68" s="1137" t="s">
        <v>41</v>
      </c>
      <c r="M68" s="1138"/>
      <c r="N68" s="1138"/>
      <c r="O68" s="1139"/>
      <c r="P68" s="1260" t="s">
        <v>63</v>
      </c>
      <c r="Q68" s="1261"/>
      <c r="R68" s="1261"/>
      <c r="S68" s="1261"/>
      <c r="T68" s="1261"/>
      <c r="U68" s="1261"/>
      <c r="V68" s="1261"/>
      <c r="W68" s="1261"/>
      <c r="X68" s="1261"/>
      <c r="Y68" s="1325"/>
      <c r="Z68" s="165"/>
    </row>
    <row r="69" spans="2:27" ht="47.25" customHeight="1" x14ac:dyDescent="0.15">
      <c r="B69" s="1254" t="s">
        <v>0</v>
      </c>
      <c r="C69" s="1255"/>
      <c r="D69" s="1322"/>
      <c r="E69" s="223"/>
      <c r="F69" s="1254" t="s">
        <v>1</v>
      </c>
      <c r="G69" s="1322"/>
      <c r="H69" s="1088" t="s">
        <v>2</v>
      </c>
      <c r="I69" s="1090"/>
      <c r="J69" s="1088" t="s">
        <v>3</v>
      </c>
      <c r="K69" s="1090"/>
      <c r="L69" s="1088" t="s">
        <v>2</v>
      </c>
      <c r="M69" s="1090"/>
      <c r="N69" s="1088" t="s">
        <v>3</v>
      </c>
      <c r="O69" s="1090"/>
      <c r="P69" s="224"/>
      <c r="Q69" s="225"/>
      <c r="R69" s="225"/>
      <c r="S69" s="226"/>
      <c r="T69" s="1085" t="s">
        <v>61</v>
      </c>
      <c r="U69" s="1090"/>
      <c r="V69" s="1085" t="s">
        <v>62</v>
      </c>
      <c r="W69" s="1090"/>
      <c r="X69" s="1085" t="s">
        <v>167</v>
      </c>
      <c r="Y69" s="1087"/>
      <c r="Z69" s="165"/>
    </row>
    <row r="70" spans="2:27" s="172" customFormat="1" ht="17.25" customHeight="1" x14ac:dyDescent="0.15">
      <c r="B70" s="553" t="s">
        <v>279</v>
      </c>
      <c r="C70" s="554"/>
      <c r="D70" s="555"/>
      <c r="E70" s="227" t="str">
        <f>IF(B70="","",B70&amp;F70)</f>
        <v>なし45566</v>
      </c>
      <c r="F70" s="1461">
        <f>IF(AND($X$64="非該当",$B70&lt;&gt;""),DATE(YEAR($I$27),MONTH($I$27),DAY($I$27)),"")</f>
        <v>45566</v>
      </c>
      <c r="G70" s="1463"/>
      <c r="H70" s="1044">
        <f>IF($B70="","",VLOOKUP($E70,$E$55:$U$63,4,FALSE))</f>
        <v>1</v>
      </c>
      <c r="I70" s="1045"/>
      <c r="J70" s="1044">
        <f>IF($B70="","",VLOOKUP($E70,$E$55:$U$63,6,FALSE))</f>
        <v>1</v>
      </c>
      <c r="K70" s="1045"/>
      <c r="L70" s="1044">
        <f>IF($B70="","",VLOOKUP($E70,$E$55:$U$63,14,FALSE))</f>
        <v>0</v>
      </c>
      <c r="M70" s="1045"/>
      <c r="N70" s="1044">
        <f>IF($B70="","",VLOOKUP($E70,$E$55:$U$63,16,FALSE))</f>
        <v>0</v>
      </c>
      <c r="O70" s="1045"/>
      <c r="P70" s="1311" t="str">
        <f>IF(B70="","～",P$16&amp;"～"&amp;Q$18)</f>
        <v>2024～2022年</v>
      </c>
      <c r="Q70" s="1312"/>
      <c r="R70" s="1312"/>
      <c r="S70" s="1313"/>
      <c r="T70" s="1380" t="str">
        <f>IF(B70="","",IF(OR(J70&lt;1,J71&lt;1,J72&lt;1),"－",ROUND((ROUND(H70/J70,2)+ROUND(H71/J71,2)+ROUND(H72/J72,2))/3,2)))</f>
        <v>－</v>
      </c>
      <c r="U70" s="1381"/>
      <c r="V70" s="1380" t="str">
        <f>IF(B70="","",IF(OR(N70&lt;1,N71&lt;1,N72&lt;1),"－",ROUND((ROUND(L70/N70,2)+ROUND(L71/N71,2)+ROUND(L72/N72,2))/3,2)))</f>
        <v>－</v>
      </c>
      <c r="W70" s="1381"/>
      <c r="X70" s="1382" t="str">
        <f>IF(B70="","",IF(OR(T70="－",V70="－"),"－",ROUND(T70/V70,2)))</f>
        <v>－</v>
      </c>
      <c r="Y70" s="1383"/>
      <c r="Z70" s="180"/>
    </row>
    <row r="71" spans="2:27" s="172" customFormat="1" ht="17.25" customHeight="1" x14ac:dyDescent="0.15">
      <c r="B71" s="564"/>
      <c r="C71" s="1068"/>
      <c r="D71" s="565"/>
      <c r="E71" s="228" t="str">
        <f>IF(B70="","",B70&amp;F71)</f>
        <v>なし45200</v>
      </c>
      <c r="F71" s="1461">
        <f>IF(AND($X$64="非該当",$B70&lt;&gt;""),DATE(YEAR($I$27)-1,MONTH($I$27),DAY($I$27)),"")</f>
        <v>45200</v>
      </c>
      <c r="G71" s="1463"/>
      <c r="H71" s="1044">
        <f>IF($B70="","",VLOOKUP($E71,$E$55:$U$63,4,FALSE))</f>
        <v>0</v>
      </c>
      <c r="I71" s="1045"/>
      <c r="J71" s="1044">
        <f>IF($B70="","",VLOOKUP($E71,$E$55:$U$63,6,FALSE))</f>
        <v>0</v>
      </c>
      <c r="K71" s="1045"/>
      <c r="L71" s="1044">
        <f>IF($B70="","",VLOOKUP($E71,$E$55:$U$63,14,FALSE))</f>
        <v>0</v>
      </c>
      <c r="M71" s="1045"/>
      <c r="N71" s="1044">
        <f>IF($B70="","",VLOOKUP($E71,$E$55:$U$63,16,FALSE))</f>
        <v>0</v>
      </c>
      <c r="O71" s="1045"/>
      <c r="P71" s="1311" t="str">
        <f>IF(B70="","～",P$17&amp;"～"&amp;Q$19)</f>
        <v>2023～2021年</v>
      </c>
      <c r="Q71" s="1312"/>
      <c r="R71" s="1312"/>
      <c r="S71" s="1313"/>
      <c r="T71" s="1380" t="str">
        <f>IF(B70="","",IF(OR(J71&lt;1,J72&lt;1,J73&lt;1),"－",ROUND((ROUND(H71/J71,2)+ROUND(H72/J72,2)+ROUND(H73/J73,2))/3,2)))</f>
        <v>－</v>
      </c>
      <c r="U71" s="1381"/>
      <c r="V71" s="1380" t="str">
        <f>IF(B70="","",IF(OR(N71&lt;1,N72&lt;1,N73&lt;1),"－",ROUND((ROUND(L71/N71,2)+ROUND(L72/N72,2)+ROUND(L73/N73,2))/3,2)))</f>
        <v>－</v>
      </c>
      <c r="W71" s="1381"/>
      <c r="X71" s="1382" t="str">
        <f>IF(B70="","",IF(OR(T71="－",V71="－"),"－",ROUND(T71/V71,2)))</f>
        <v>－</v>
      </c>
      <c r="Y71" s="1383"/>
      <c r="Z71" s="180"/>
    </row>
    <row r="72" spans="2:27" s="172" customFormat="1" ht="17.25" customHeight="1" x14ac:dyDescent="0.15">
      <c r="B72" s="564"/>
      <c r="C72" s="1068"/>
      <c r="D72" s="565"/>
      <c r="E72" s="228" t="str">
        <f>IF(B70="","",B70&amp;F72)</f>
        <v>なし44835</v>
      </c>
      <c r="F72" s="1461">
        <f>IF(AND($X$64="非該当",$B70&lt;&gt;""),DATE(YEAR($I$27)-2,MONTH($I$27),DAY($I$27)),"")</f>
        <v>44835</v>
      </c>
      <c r="G72" s="1463"/>
      <c r="H72" s="1044">
        <f>IF($B70="","",VLOOKUP($E72,$E$55:$U$63,4,FALSE))</f>
        <v>0</v>
      </c>
      <c r="I72" s="1045"/>
      <c r="J72" s="1044">
        <f>IF($B70="","",VLOOKUP($E72,$E$55:$U$63,6,FALSE))</f>
        <v>0</v>
      </c>
      <c r="K72" s="1045"/>
      <c r="L72" s="1044">
        <f>IF($B70="","",VLOOKUP($E72,$E$55:$U$63,14,FALSE))</f>
        <v>1</v>
      </c>
      <c r="M72" s="1045"/>
      <c r="N72" s="1044">
        <f>IF($B70="","",VLOOKUP($E72,$E$55:$U$63,16,FALSE))</f>
        <v>1</v>
      </c>
      <c r="O72" s="1045"/>
      <c r="P72" s="1311" t="str">
        <f>IF(B70="","～",P$18&amp;"～"&amp;Q$20)</f>
        <v>2022～2020年</v>
      </c>
      <c r="Q72" s="1312"/>
      <c r="R72" s="1312"/>
      <c r="S72" s="1313"/>
      <c r="T72" s="1380" t="str">
        <f>IF(B70="","",IF(OR(J72&lt;1,J73&lt;1,J74&lt;1),"－",ROUND((ROUND(H72/J72,2)+ROUND(H73/J73,2)+ROUND(H74/J74,2))/3,2)))</f>
        <v>－</v>
      </c>
      <c r="U72" s="1381"/>
      <c r="V72" s="1380" t="str">
        <f>IF(B70="","",IF(OR(N72&lt;1,N73&lt;1,N74&lt;1),"－",ROUND((ROUND(L72/N72,2)+ROUND(L73/N73,2)+ROUND(L74/N74,2))/3,2)))</f>
        <v>－</v>
      </c>
      <c r="W72" s="1381"/>
      <c r="X72" s="1382" t="str">
        <f>IF(B70="","",IF(OR(T72="－",V72="－"),"－",ROUND(T72/V72,2)))</f>
        <v>－</v>
      </c>
      <c r="Y72" s="1383"/>
      <c r="Z72" s="180"/>
    </row>
    <row r="73" spans="2:27" s="172" customFormat="1" ht="17.25" customHeight="1" x14ac:dyDescent="0.15">
      <c r="B73" s="564"/>
      <c r="C73" s="1068"/>
      <c r="D73" s="565"/>
      <c r="E73" s="228"/>
      <c r="F73" s="1461">
        <f>IF(AND($X$64="非該当",$B70&lt;&gt;""),DATE(YEAR($I$27)-3,MONTH($I$27),DAY($I$27)),"")</f>
        <v>44470</v>
      </c>
      <c r="G73" s="1463"/>
      <c r="H73" s="318">
        <v>1</v>
      </c>
      <c r="I73" s="319"/>
      <c r="J73" s="318">
        <v>1</v>
      </c>
      <c r="K73" s="319"/>
      <c r="L73" s="318">
        <v>0</v>
      </c>
      <c r="M73" s="319"/>
      <c r="N73" s="318">
        <v>0</v>
      </c>
      <c r="O73" s="319"/>
      <c r="P73" s="174"/>
      <c r="Q73" s="229"/>
      <c r="R73" s="229"/>
      <c r="S73" s="229"/>
      <c r="T73" s="229"/>
      <c r="U73" s="229"/>
      <c r="V73" s="229"/>
      <c r="W73" s="229"/>
      <c r="X73" s="229"/>
      <c r="Y73" s="175"/>
      <c r="Z73" s="180"/>
    </row>
    <row r="74" spans="2:27" s="172" customFormat="1" ht="17.25" customHeight="1" x14ac:dyDescent="0.15">
      <c r="B74" s="566"/>
      <c r="C74" s="567"/>
      <c r="D74" s="568"/>
      <c r="E74" s="230"/>
      <c r="F74" s="1461">
        <f>IF(AND($X$64="非該当",$B70&lt;&gt;""),DATE(YEAR($I$27)-4,MONTH($I$27),DAY($I$27)),"")</f>
        <v>44105</v>
      </c>
      <c r="G74" s="1463"/>
      <c r="H74" s="318">
        <v>0</v>
      </c>
      <c r="I74" s="319"/>
      <c r="J74" s="318">
        <v>0</v>
      </c>
      <c r="K74" s="319"/>
      <c r="L74" s="318">
        <v>0</v>
      </c>
      <c r="M74" s="319"/>
      <c r="N74" s="318">
        <v>0</v>
      </c>
      <c r="O74" s="319"/>
      <c r="P74" s="184"/>
      <c r="Q74" s="231"/>
      <c r="R74" s="231"/>
      <c r="S74" s="231"/>
      <c r="T74" s="231"/>
      <c r="U74" s="231"/>
      <c r="V74" s="231"/>
      <c r="W74" s="231"/>
      <c r="X74" s="231"/>
      <c r="Y74" s="187"/>
      <c r="Z74" s="180"/>
    </row>
    <row r="75" spans="2:27" s="172" customFormat="1" ht="17.25" customHeight="1" x14ac:dyDescent="0.15">
      <c r="B75" s="553"/>
      <c r="C75" s="554"/>
      <c r="D75" s="555"/>
      <c r="E75" s="227" t="str">
        <f>IF(B75="","",B75&amp;F75)</f>
        <v/>
      </c>
      <c r="F75" s="1461" t="str">
        <f>IF(AND($X$64="非該当",$B75&lt;&gt;""),DATE(YEAR($I$27),MONTH($I$27),DAY($I$27)),"")</f>
        <v/>
      </c>
      <c r="G75" s="1463"/>
      <c r="H75" s="1044" t="str">
        <f>IF($B75="","",VLOOKUP($E75,$E$55:$U$63,4,FALSE))</f>
        <v/>
      </c>
      <c r="I75" s="1045"/>
      <c r="J75" s="1044" t="str">
        <f>IF($B75="","",VLOOKUP($E75,$E$55:$U$63,6,FALSE))</f>
        <v/>
      </c>
      <c r="K75" s="1045"/>
      <c r="L75" s="1044" t="str">
        <f>IF($B75="","",VLOOKUP($E75,$E$55:$U$63,14,FALSE))</f>
        <v/>
      </c>
      <c r="M75" s="1045"/>
      <c r="N75" s="1044" t="str">
        <f>IF($B75="","",VLOOKUP($E75,$E$55:$U$63,16,FALSE))</f>
        <v/>
      </c>
      <c r="O75" s="1045"/>
      <c r="P75" s="1311" t="str">
        <f>IF(B75="","～",P$16&amp;"～"&amp;Q$18)</f>
        <v>～</v>
      </c>
      <c r="Q75" s="1312"/>
      <c r="R75" s="1312"/>
      <c r="S75" s="1313"/>
      <c r="T75" s="1380" t="str">
        <f>IF(B75="","",IF(OR(J75&lt;1,J76&lt;1,J77&lt;1),"－",ROUND((ROUND(H75/J75,2)+ROUND(H76/J76,2)+ROUND(H77/J77,2))/3,2)))</f>
        <v/>
      </c>
      <c r="U75" s="1381"/>
      <c r="V75" s="1380" t="str">
        <f>IF(B75="","",IF(OR(N75&lt;1,N76&lt;1,N77&lt;1),"－",ROUND((ROUND(L75/N75,2)+ROUND(L76/N76,2)+ROUND(L77/N77,2))/3,2)))</f>
        <v/>
      </c>
      <c r="W75" s="1381"/>
      <c r="X75" s="1382" t="str">
        <f>IF(B75="","",IF(OR(T75="－",V75="－"),"－",ROUND(T75/V75,2)))</f>
        <v/>
      </c>
      <c r="Y75" s="1383"/>
      <c r="Z75" s="165"/>
    </row>
    <row r="76" spans="2:27" s="172" customFormat="1" ht="17.25" customHeight="1" x14ac:dyDescent="0.15">
      <c r="B76" s="564"/>
      <c r="C76" s="1068"/>
      <c r="D76" s="565"/>
      <c r="E76" s="228" t="str">
        <f>IF(B75="","",B75&amp;F76)</f>
        <v/>
      </c>
      <c r="F76" s="1461" t="str">
        <f>IF(AND($X$64="非該当",$B75&lt;&gt;""),DATE(YEAR($I$27)-1,MONTH($I$27),DAY($I$27)),"")</f>
        <v/>
      </c>
      <c r="G76" s="1463"/>
      <c r="H76" s="1044" t="str">
        <f>IF($B75="","",VLOOKUP($E76,$E$55:$U$63,4,FALSE))</f>
        <v/>
      </c>
      <c r="I76" s="1045"/>
      <c r="J76" s="1044" t="str">
        <f>IF($B75="","",VLOOKUP($E76,$E$55:$U$63,6,FALSE))</f>
        <v/>
      </c>
      <c r="K76" s="1045"/>
      <c r="L76" s="1044" t="str">
        <f>IF($B75="","",VLOOKUP($E76,$E$55:$U$63,14,FALSE))</f>
        <v/>
      </c>
      <c r="M76" s="1045"/>
      <c r="N76" s="1044" t="str">
        <f>IF($B75="","",VLOOKUP($E76,$E$55:$U$63,16,FALSE))</f>
        <v/>
      </c>
      <c r="O76" s="1045"/>
      <c r="P76" s="1311" t="str">
        <f>IF(B75="","～",P$17&amp;"～"&amp;Q$19)</f>
        <v>～</v>
      </c>
      <c r="Q76" s="1312"/>
      <c r="R76" s="1312"/>
      <c r="S76" s="1313"/>
      <c r="T76" s="1380" t="str">
        <f>IF(B75="","",IF(OR(J76&lt;1,J77&lt;1,J78&lt;1),"－",ROUND((ROUND(H76/J76,2)+ROUND(H77/J77,2)+ROUND(H78/J78,2))/3,2)))</f>
        <v/>
      </c>
      <c r="U76" s="1381"/>
      <c r="V76" s="1380" t="str">
        <f>IF(B75="","",IF(OR(N76&lt;1,N77&lt;1,N78&lt;1),"－",ROUND((ROUND(L76/N76,2)+ROUND(L77/N77,2)+ROUND(L78/N78,2))/3,2)))</f>
        <v/>
      </c>
      <c r="W76" s="1381"/>
      <c r="X76" s="1382" t="str">
        <f>IF(B75="","",IF(OR(T76="－",V76="－"),"－",ROUND(T76/V76,2)))</f>
        <v/>
      </c>
      <c r="Y76" s="1383"/>
      <c r="Z76" s="165"/>
    </row>
    <row r="77" spans="2:27" s="172" customFormat="1" ht="17.25" customHeight="1" x14ac:dyDescent="0.15">
      <c r="B77" s="564"/>
      <c r="C77" s="1068"/>
      <c r="D77" s="565"/>
      <c r="E77" s="228" t="str">
        <f>IF(B75="","",B75&amp;F77)</f>
        <v/>
      </c>
      <c r="F77" s="1461" t="str">
        <f>IF(AND($X$64="非該当",$B75&lt;&gt;""),DATE(YEAR($I$27)-2,MONTH($I$27),DAY($I$27)),"")</f>
        <v/>
      </c>
      <c r="G77" s="1463"/>
      <c r="H77" s="1044" t="str">
        <f>IF($B75="","",VLOOKUP($E77,$E$55:$U$63,4,FALSE))</f>
        <v/>
      </c>
      <c r="I77" s="1045"/>
      <c r="J77" s="1044" t="str">
        <f>IF($B75="","",VLOOKUP($E77,$E$55:$U$63,6,FALSE))</f>
        <v/>
      </c>
      <c r="K77" s="1045"/>
      <c r="L77" s="1044" t="str">
        <f>IF($B75="","",VLOOKUP($E77,$E$55:$U$63,14,FALSE))</f>
        <v/>
      </c>
      <c r="M77" s="1045"/>
      <c r="N77" s="1044" t="str">
        <f>IF($B75="","",VLOOKUP($E77,$E$55:$U$63,16,FALSE))</f>
        <v/>
      </c>
      <c r="O77" s="1045"/>
      <c r="P77" s="1311" t="str">
        <f>IF(B75="","～",P$18&amp;"～"&amp;Q$20)</f>
        <v>～</v>
      </c>
      <c r="Q77" s="1312"/>
      <c r="R77" s="1312"/>
      <c r="S77" s="1313"/>
      <c r="T77" s="1380" t="str">
        <f>IF(B75="","",IF(OR(J77&lt;1,J78&lt;1,J79&lt;1),"－",ROUND((ROUND(H77/J77,2)+ROUND(H78/J78,2)+ROUND(H79/J79,2))/3,2)))</f>
        <v/>
      </c>
      <c r="U77" s="1381"/>
      <c r="V77" s="1380" t="str">
        <f>IF(B75="","",IF(OR(N77&lt;1,N78&lt;1,N79&lt;1),"－",ROUND((ROUND(L77/N77,2)+ROUND(L78/N78,2)+ROUND(L79/N79,2))/3,2)))</f>
        <v/>
      </c>
      <c r="W77" s="1381"/>
      <c r="X77" s="1382" t="str">
        <f>IF(B75="","",IF(OR(T77="－",V77="－"),"－",ROUND(T77/V77,2)))</f>
        <v/>
      </c>
      <c r="Y77" s="1383"/>
      <c r="Z77" s="165"/>
    </row>
    <row r="78" spans="2:27" s="172" customFormat="1" ht="17.25" customHeight="1" x14ac:dyDescent="0.15">
      <c r="B78" s="564"/>
      <c r="C78" s="1068"/>
      <c r="D78" s="565"/>
      <c r="E78" s="228"/>
      <c r="F78" s="1461" t="str">
        <f>IF(AND($X$64="非該当",$B75&lt;&gt;""),DATE(YEAR($I$27)-3,MONTH($I$27),DAY($I$27)),"")</f>
        <v/>
      </c>
      <c r="G78" s="1463"/>
      <c r="H78" s="318"/>
      <c r="I78" s="319"/>
      <c r="J78" s="318"/>
      <c r="K78" s="319"/>
      <c r="L78" s="318"/>
      <c r="M78" s="319"/>
      <c r="N78" s="318"/>
      <c r="O78" s="319"/>
      <c r="P78" s="174"/>
      <c r="Q78" s="229"/>
      <c r="R78" s="229"/>
      <c r="S78" s="229"/>
      <c r="T78" s="229"/>
      <c r="U78" s="229"/>
      <c r="V78" s="229"/>
      <c r="W78" s="229"/>
      <c r="X78" s="229"/>
      <c r="Y78" s="175"/>
      <c r="Z78" s="165"/>
    </row>
    <row r="79" spans="2:27" s="172" customFormat="1" ht="17.25" customHeight="1" x14ac:dyDescent="0.15">
      <c r="B79" s="566"/>
      <c r="C79" s="567"/>
      <c r="D79" s="568"/>
      <c r="E79" s="230"/>
      <c r="F79" s="1461" t="str">
        <f>IF(AND($X$64="非該当",$B75&lt;&gt;""),DATE(YEAR($I$27)-4,MONTH($I$27),DAY($I$27)),"")</f>
        <v/>
      </c>
      <c r="G79" s="1463"/>
      <c r="H79" s="579"/>
      <c r="I79" s="844"/>
      <c r="J79" s="579"/>
      <c r="K79" s="844"/>
      <c r="L79" s="579"/>
      <c r="M79" s="844"/>
      <c r="N79" s="579"/>
      <c r="O79" s="844"/>
      <c r="P79" s="184"/>
      <c r="Q79" s="231"/>
      <c r="R79" s="231"/>
      <c r="S79" s="231"/>
      <c r="T79" s="231"/>
      <c r="U79" s="231"/>
      <c r="V79" s="231"/>
      <c r="W79" s="231"/>
      <c r="X79" s="231"/>
      <c r="Y79" s="187"/>
      <c r="Z79" s="165"/>
    </row>
    <row r="80" spans="2:27" s="172" customFormat="1" ht="17.25" customHeight="1" x14ac:dyDescent="0.15">
      <c r="B80" s="553"/>
      <c r="C80" s="554"/>
      <c r="D80" s="555"/>
      <c r="E80" s="227" t="str">
        <f>IF(B80="","",B80&amp;F80)</f>
        <v/>
      </c>
      <c r="F80" s="1461" t="str">
        <f>IF(AND($X$64="非該当",$B80&lt;&gt;""),DATE(YEAR($I$27),MONTH($I$27),DAY($I$27)),"")</f>
        <v/>
      </c>
      <c r="G80" s="1463"/>
      <c r="H80" s="1044" t="str">
        <f>IF($B80="","",VLOOKUP($E80,$E$55:$U$63,4,FALSE))</f>
        <v/>
      </c>
      <c r="I80" s="1045"/>
      <c r="J80" s="1044" t="str">
        <f>IF($B80="","",VLOOKUP($E80,$E$55:$U$63,6,FALSE))</f>
        <v/>
      </c>
      <c r="K80" s="1045"/>
      <c r="L80" s="1044" t="str">
        <f>IF($B80="","",VLOOKUP($E80,$E$55:$U$63,14,FALSE))</f>
        <v/>
      </c>
      <c r="M80" s="1045"/>
      <c r="N80" s="1044" t="str">
        <f>IF($B80="","",VLOOKUP($E80,$E$55:$U$63,16,FALSE))</f>
        <v/>
      </c>
      <c r="O80" s="1045"/>
      <c r="P80" s="1311" t="str">
        <f>IF(B80="","～",P$16&amp;"～"&amp;Q$18)</f>
        <v>～</v>
      </c>
      <c r="Q80" s="1312"/>
      <c r="R80" s="1312"/>
      <c r="S80" s="1313"/>
      <c r="T80" s="1380" t="str">
        <f>IF(B80="","",IF(OR(J80&lt;1,J81&lt;1,J82&lt;1),"－",ROUND((ROUND(H80/J80,2)+ROUND(H81/J81,2)+ROUND(H82/J82,2))/3,2)))</f>
        <v/>
      </c>
      <c r="U80" s="1381"/>
      <c r="V80" s="1380" t="str">
        <f>IF(B80="","",IF(OR(N80&lt;1,N81&lt;1,N82&lt;1),"－",ROUND((ROUND(L80/N80,2)+ROUND(L81/N81,2)+ROUND(L82/N82,2))/3,2)))</f>
        <v/>
      </c>
      <c r="W80" s="1381"/>
      <c r="X80" s="1382" t="str">
        <f>IF(B80="","",IF(OR(T80="－",V80="－"),"－",ROUND(T80/V80,2)))</f>
        <v/>
      </c>
      <c r="Y80" s="1383"/>
      <c r="Z80" s="165"/>
    </row>
    <row r="81" spans="2:28" s="172" customFormat="1" ht="17.25" customHeight="1" x14ac:dyDescent="0.15">
      <c r="B81" s="564"/>
      <c r="C81" s="1068"/>
      <c r="D81" s="565"/>
      <c r="E81" s="228" t="str">
        <f>IF(B80="","",B80&amp;F81)</f>
        <v/>
      </c>
      <c r="F81" s="1461" t="str">
        <f>IF(AND($X$64="非該当",$B80&lt;&gt;""),DATE(YEAR($I$27)-1,MONTH($I$27),DAY($I$27)),"")</f>
        <v/>
      </c>
      <c r="G81" s="1463"/>
      <c r="H81" s="1044" t="str">
        <f>IF($B80="","",VLOOKUP($E81,$E$55:$U$63,4,FALSE))</f>
        <v/>
      </c>
      <c r="I81" s="1045"/>
      <c r="J81" s="1044" t="str">
        <f>IF($B80="","",VLOOKUP($E81,$E$55:$U$63,6,FALSE))</f>
        <v/>
      </c>
      <c r="K81" s="1045"/>
      <c r="L81" s="1044" t="str">
        <f>IF($B80="","",VLOOKUP($E81,$E$55:$U$63,14,FALSE))</f>
        <v/>
      </c>
      <c r="M81" s="1045"/>
      <c r="N81" s="1044" t="str">
        <f>IF($B80="","",VLOOKUP($E81,$E$55:$U$63,16,FALSE))</f>
        <v/>
      </c>
      <c r="O81" s="1045"/>
      <c r="P81" s="1311" t="str">
        <f>IF(B80="","～",P$17&amp;"～"&amp;Q$19)</f>
        <v>～</v>
      </c>
      <c r="Q81" s="1312"/>
      <c r="R81" s="1312"/>
      <c r="S81" s="1313"/>
      <c r="T81" s="1380" t="str">
        <f>IF(B80="","",IF(OR(J81&lt;1,J82&lt;1,J83&lt;1),"－",ROUND((ROUND(H81/J81,2)+ROUND(H82/J82,2)+ROUND(H83/J83,2))/3,2)))</f>
        <v/>
      </c>
      <c r="U81" s="1381"/>
      <c r="V81" s="1380" t="str">
        <f>IF(B80="","",IF(OR(N81&lt;1,N82&lt;1,N83&lt;1),"－",ROUND((ROUND(L81/N81,2)+ROUND(L82/N82,2)+ROUND(L83/N83,2))/3,2)))</f>
        <v/>
      </c>
      <c r="W81" s="1381"/>
      <c r="X81" s="1382" t="str">
        <f>IF(B80="","",IF(OR(T81="－",V81="－"),"－",ROUND(T81/V81,2)))</f>
        <v/>
      </c>
      <c r="Y81" s="1383"/>
      <c r="Z81" s="165"/>
    </row>
    <row r="82" spans="2:28" s="172" customFormat="1" ht="17.25" customHeight="1" x14ac:dyDescent="0.15">
      <c r="B82" s="564"/>
      <c r="C82" s="1068"/>
      <c r="D82" s="565"/>
      <c r="E82" s="228" t="str">
        <f>IF(B80="","",B80&amp;F82)</f>
        <v/>
      </c>
      <c r="F82" s="1461" t="str">
        <f>IF(AND($X$64="非該当",$B80&lt;&gt;""),DATE(YEAR($I$27)-2,MONTH($I$27),DAY($I$27)),"")</f>
        <v/>
      </c>
      <c r="G82" s="1463"/>
      <c r="H82" s="1044" t="str">
        <f>IF($B80="","",VLOOKUP($E82,$E$55:$U$63,4,FALSE))</f>
        <v/>
      </c>
      <c r="I82" s="1045"/>
      <c r="J82" s="1044" t="str">
        <f>IF($B80="","",VLOOKUP($E82,$E$55:$U$63,6,FALSE))</f>
        <v/>
      </c>
      <c r="K82" s="1045"/>
      <c r="L82" s="1044" t="str">
        <f>IF($B80="","",VLOOKUP($E82,$E$55:$U$63,14,FALSE))</f>
        <v/>
      </c>
      <c r="M82" s="1045"/>
      <c r="N82" s="1044" t="str">
        <f>IF($B80="","",VLOOKUP($E82,$E$55:$U$63,16,FALSE))</f>
        <v/>
      </c>
      <c r="O82" s="1045"/>
      <c r="P82" s="1311" t="str">
        <f>IF(B80="","～",P$18&amp;"～"&amp;Q$20)</f>
        <v>～</v>
      </c>
      <c r="Q82" s="1312"/>
      <c r="R82" s="1312"/>
      <c r="S82" s="1313"/>
      <c r="T82" s="1380" t="str">
        <f>IF(B80="","",IF(OR(J82&lt;1,J83&lt;1,J84&lt;1),"－",ROUND((ROUND(H82/J82,2)+ROUND(H83/J83,2)+ROUND(H84/J84,2))/3,2)))</f>
        <v/>
      </c>
      <c r="U82" s="1381"/>
      <c r="V82" s="1380" t="str">
        <f>IF(B80="","",IF(OR(N82&lt;1,N83&lt;1,N84&lt;1),"－",ROUND((ROUND(L82/N82,2)+ROUND(L83/N83,2)+ROUND(L84/N84,2))/3,2)))</f>
        <v/>
      </c>
      <c r="W82" s="1381"/>
      <c r="X82" s="1382" t="str">
        <f>IF(B80="","",IF(OR(T82="－",V82="－"),"－",ROUND(T82/V82,2)))</f>
        <v/>
      </c>
      <c r="Y82" s="1383"/>
      <c r="Z82" s="165"/>
    </row>
    <row r="83" spans="2:28" s="172" customFormat="1" ht="17.25" customHeight="1" x14ac:dyDescent="0.15">
      <c r="B83" s="564"/>
      <c r="C83" s="1068"/>
      <c r="D83" s="565"/>
      <c r="E83" s="228"/>
      <c r="F83" s="1461" t="str">
        <f>IF(AND($X$64="非該当",$B80&lt;&gt;""),DATE(YEAR($I$27)-3,MONTH($I$27),DAY($I$27)),"")</f>
        <v/>
      </c>
      <c r="G83" s="1463"/>
      <c r="H83" s="318"/>
      <c r="I83" s="319"/>
      <c r="J83" s="318"/>
      <c r="K83" s="319"/>
      <c r="L83" s="318"/>
      <c r="M83" s="319"/>
      <c r="N83" s="318"/>
      <c r="O83" s="319"/>
      <c r="P83" s="174"/>
      <c r="Q83" s="229"/>
      <c r="R83" s="229"/>
      <c r="S83" s="229"/>
      <c r="T83" s="229"/>
      <c r="U83" s="229"/>
      <c r="V83" s="229"/>
      <c r="W83" s="229"/>
      <c r="X83" s="229"/>
      <c r="Y83" s="175"/>
      <c r="Z83" s="165"/>
    </row>
    <row r="84" spans="2:28" s="172" customFormat="1" ht="17.25" customHeight="1" x14ac:dyDescent="0.15">
      <c r="B84" s="566"/>
      <c r="C84" s="567"/>
      <c r="D84" s="568"/>
      <c r="E84" s="230"/>
      <c r="F84" s="1461" t="str">
        <f>IF(AND($X$64="非該当",$B80&lt;&gt;""),DATE(YEAR($I$27)-4,MONTH($I$27),DAY($I$27)),"")</f>
        <v/>
      </c>
      <c r="G84" s="1463"/>
      <c r="H84" s="318"/>
      <c r="I84" s="319"/>
      <c r="J84" s="318"/>
      <c r="K84" s="319"/>
      <c r="L84" s="318"/>
      <c r="M84" s="319"/>
      <c r="N84" s="318"/>
      <c r="O84" s="319"/>
      <c r="P84" s="184"/>
      <c r="Q84" s="231"/>
      <c r="R84" s="231"/>
      <c r="S84" s="231"/>
      <c r="T84" s="231"/>
      <c r="U84" s="231"/>
      <c r="V84" s="231"/>
      <c r="W84" s="231"/>
      <c r="X84" s="231"/>
      <c r="Y84" s="187"/>
      <c r="Z84" s="165"/>
    </row>
    <row r="85" spans="2:28" ht="17.25" customHeight="1" x14ac:dyDescent="0.15">
      <c r="Z85" s="165"/>
    </row>
    <row r="86" spans="2:28" ht="17.25" customHeight="1" x14ac:dyDescent="0.15">
      <c r="B86" s="171" t="s">
        <v>155</v>
      </c>
      <c r="AA86" s="212" t="str">
        <f>IF(G$23="","",G$23)</f>
        <v>株式会社参画企画</v>
      </c>
    </row>
    <row r="87" spans="2:28" ht="17.25" customHeight="1" x14ac:dyDescent="0.15"/>
    <row r="88" spans="2:28" ht="17.25" customHeight="1" x14ac:dyDescent="0.15">
      <c r="B88" s="232" t="s">
        <v>129</v>
      </c>
    </row>
    <row r="89" spans="2:28" ht="17.25" customHeight="1" thickBot="1" x14ac:dyDescent="0.2">
      <c r="B89" s="171" t="s">
        <v>51</v>
      </c>
    </row>
    <row r="90" spans="2:28" s="172" customFormat="1" ht="47.25" customHeight="1" thickTop="1" x14ac:dyDescent="0.15">
      <c r="B90" s="1366"/>
      <c r="C90" s="1367"/>
      <c r="D90" s="1368"/>
      <c r="E90" s="233"/>
      <c r="F90" s="1085" t="s">
        <v>5</v>
      </c>
      <c r="G90" s="1089"/>
      <c r="H90" s="1090"/>
      <c r="I90" s="1085" t="s">
        <v>8</v>
      </c>
      <c r="J90" s="1086"/>
      <c r="K90" s="1087"/>
      <c r="L90" s="1085" t="s">
        <v>9</v>
      </c>
      <c r="M90" s="1089"/>
      <c r="N90" s="1090"/>
      <c r="O90" s="1088" t="s">
        <v>11</v>
      </c>
      <c r="P90" s="1089"/>
      <c r="Q90" s="1089"/>
      <c r="R90" s="1105" t="s">
        <v>10</v>
      </c>
      <c r="S90" s="1149"/>
      <c r="T90" s="1106"/>
      <c r="U90" s="1105" t="s">
        <v>234</v>
      </c>
      <c r="V90" s="1149"/>
      <c r="W90" s="1149"/>
      <c r="X90" s="1149"/>
      <c r="Y90" s="1106"/>
      <c r="Z90" s="1369" t="s">
        <v>50</v>
      </c>
      <c r="AA90" s="1370"/>
    </row>
    <row r="91" spans="2:28" s="172" customFormat="1" ht="17.25" customHeight="1" x14ac:dyDescent="0.15">
      <c r="B91" s="1371"/>
      <c r="C91" s="1372"/>
      <c r="D91" s="1373"/>
      <c r="E91" s="233"/>
      <c r="F91" s="1464">
        <f>IF($I$27="","",$I$27)</f>
        <v>45566</v>
      </c>
      <c r="G91" s="1465"/>
      <c r="H91" s="1466"/>
      <c r="I91" s="808">
        <v>8</v>
      </c>
      <c r="J91" s="809"/>
      <c r="K91" s="810"/>
      <c r="L91" s="808">
        <v>14</v>
      </c>
      <c r="M91" s="809"/>
      <c r="N91" s="810"/>
      <c r="O91" s="1103">
        <f>IF(F91="","",I91+L91)</f>
        <v>22</v>
      </c>
      <c r="P91" s="1104"/>
      <c r="Q91" s="1104"/>
      <c r="R91" s="503">
        <f>IF(F91="","",ROUND(I91/O91,3))</f>
        <v>0.36399999999999999</v>
      </c>
      <c r="S91" s="504"/>
      <c r="T91" s="505"/>
      <c r="U91" s="1377" t="str">
        <f>IF(R25="","",R25)</f>
        <v>生活関連サービス業･娯楽業</v>
      </c>
      <c r="V91" s="1378"/>
      <c r="W91" s="1378"/>
      <c r="X91" s="1378"/>
      <c r="Y91" s="1379"/>
      <c r="Z91" s="827" t="s">
        <v>267</v>
      </c>
      <c r="AA91" s="828"/>
    </row>
    <row r="92" spans="2:28" s="172" customFormat="1" ht="17.25" customHeight="1" thickBot="1" x14ac:dyDescent="0.2">
      <c r="B92" s="1374"/>
      <c r="C92" s="1375"/>
      <c r="D92" s="1376"/>
      <c r="E92" s="233"/>
      <c r="F92" s="1467"/>
      <c r="G92" s="1468"/>
      <c r="H92" s="1469"/>
      <c r="I92" s="805"/>
      <c r="J92" s="806"/>
      <c r="K92" s="807"/>
      <c r="L92" s="805"/>
      <c r="M92" s="806"/>
      <c r="N92" s="807"/>
      <c r="O92" s="1364"/>
      <c r="P92" s="1365"/>
      <c r="Q92" s="1365"/>
      <c r="R92" s="506"/>
      <c r="S92" s="507"/>
      <c r="T92" s="508"/>
      <c r="U92" s="796">
        <v>47.7</v>
      </c>
      <c r="V92" s="797"/>
      <c r="W92" s="797"/>
      <c r="X92" s="797"/>
      <c r="Y92" s="798"/>
      <c r="Z92" s="829"/>
      <c r="AA92" s="830"/>
    </row>
    <row r="93" spans="2:28" ht="17.25" customHeight="1" thickTop="1" x14ac:dyDescent="0.15">
      <c r="V93" s="165" t="str">
        <f>IF(G23="","",IF(U92="","上段に産業分類、下段に産業平均値（%）を記載↑ ",""))</f>
        <v/>
      </c>
      <c r="Y93" s="234"/>
      <c r="AA93" s="165" t="str">
        <f>IF(G23="","",IF(Z91="","リストから選択↑　",""))</f>
        <v/>
      </c>
    </row>
    <row r="94" spans="2:28" ht="17.25" customHeight="1" x14ac:dyDescent="0.15">
      <c r="B94" s="172" t="s">
        <v>208</v>
      </c>
      <c r="U94" s="165"/>
      <c r="V94" s="165"/>
      <c r="W94" s="165"/>
      <c r="X94" s="165"/>
      <c r="Y94" s="165"/>
      <c r="Z94" s="165"/>
      <c r="AA94" s="165"/>
      <c r="AB94" s="165"/>
    </row>
    <row r="95" spans="2:28" s="172" customFormat="1" ht="47.25" customHeight="1" x14ac:dyDescent="0.15">
      <c r="B95" s="1366"/>
      <c r="C95" s="1367"/>
      <c r="D95" s="1368"/>
      <c r="E95" s="233"/>
      <c r="F95" s="1085" t="s">
        <v>153</v>
      </c>
      <c r="G95" s="1089"/>
      <c r="H95" s="1090"/>
      <c r="I95" s="1085" t="s">
        <v>8</v>
      </c>
      <c r="J95" s="1086"/>
      <c r="K95" s="1087"/>
      <c r="L95" s="1085" t="s">
        <v>9</v>
      </c>
      <c r="M95" s="1089"/>
      <c r="N95" s="1090"/>
      <c r="O95" s="1088" t="s">
        <v>11</v>
      </c>
      <c r="P95" s="1089"/>
      <c r="Q95" s="1089"/>
      <c r="R95" s="1085" t="s">
        <v>10</v>
      </c>
      <c r="S95" s="1089"/>
      <c r="T95" s="1090"/>
      <c r="U95" s="235"/>
      <c r="V95" s="218"/>
      <c r="W95" s="218"/>
      <c r="X95" s="218"/>
      <c r="Y95" s="218"/>
      <c r="Z95" s="218"/>
      <c r="AA95" s="180"/>
      <c r="AB95" s="165"/>
    </row>
    <row r="96" spans="2:28" s="172" customFormat="1" ht="17.25" customHeight="1" x14ac:dyDescent="0.15">
      <c r="B96" s="1366"/>
      <c r="C96" s="1367"/>
      <c r="D96" s="1368"/>
      <c r="E96" s="233"/>
      <c r="F96" s="1455">
        <f>IF(OR($Z$91="非該当",$Z$91="算出不能"),DATE(YEAR($I$27)-1,MONTH($I$27),DAY($I$27)),"")</f>
        <v>45200</v>
      </c>
      <c r="G96" s="1456"/>
      <c r="H96" s="1457"/>
      <c r="I96" s="784">
        <v>6</v>
      </c>
      <c r="J96" s="785"/>
      <c r="K96" s="786"/>
      <c r="L96" s="784">
        <v>14</v>
      </c>
      <c r="M96" s="785"/>
      <c r="N96" s="786"/>
      <c r="O96" s="1082">
        <f>IF(F96="","",I96+L96)</f>
        <v>20</v>
      </c>
      <c r="P96" s="1083"/>
      <c r="Q96" s="1084"/>
      <c r="R96" s="460">
        <f>IF(F96="","",ROUND(I96/O96,3))</f>
        <v>0.3</v>
      </c>
      <c r="S96" s="461"/>
      <c r="T96" s="462"/>
      <c r="U96" s="1088" t="s">
        <v>187</v>
      </c>
      <c r="V96" s="1089"/>
      <c r="W96" s="1089"/>
      <c r="X96" s="1089"/>
      <c r="Y96" s="1089"/>
      <c r="Z96" s="1089"/>
      <c r="AA96" s="1090"/>
      <c r="AB96" s="165"/>
    </row>
    <row r="97" spans="2:28" s="172" customFormat="1" ht="17.25" customHeight="1" x14ac:dyDescent="0.15">
      <c r="B97" s="1366"/>
      <c r="C97" s="1367"/>
      <c r="D97" s="1368"/>
      <c r="E97" s="233"/>
      <c r="F97" s="1455">
        <f>IF(OR($Z$91="非該当",$Z$91="算出不能"),DATE(YEAR($I$27)-2,MONTH($I$27),DAY($I$27)),"")</f>
        <v>44835</v>
      </c>
      <c r="G97" s="1456"/>
      <c r="H97" s="1457"/>
      <c r="I97" s="784">
        <v>6</v>
      </c>
      <c r="J97" s="785"/>
      <c r="K97" s="786"/>
      <c r="L97" s="784">
        <v>14</v>
      </c>
      <c r="M97" s="785"/>
      <c r="N97" s="786"/>
      <c r="O97" s="1082">
        <f>IF(F97="","",I97+L97)</f>
        <v>20</v>
      </c>
      <c r="P97" s="1083"/>
      <c r="Q97" s="1084"/>
      <c r="R97" s="460">
        <f>IF(F97="","",ROUND(I97/O97,3))</f>
        <v>0.3</v>
      </c>
      <c r="S97" s="461"/>
      <c r="T97" s="462"/>
      <c r="U97" s="1311" t="str">
        <f>IF(F97="","～",P16&amp;"～"&amp;Q18)</f>
        <v>2024～2022年</v>
      </c>
      <c r="V97" s="1312"/>
      <c r="W97" s="1312"/>
      <c r="X97" s="1313"/>
      <c r="Y97" s="1351">
        <f>IF(F97="","",ROUND(AVERAGE(R91,R96,R97),3))</f>
        <v>0.32100000000000001</v>
      </c>
      <c r="Z97" s="1352"/>
      <c r="AA97" s="1353"/>
      <c r="AB97" s="165"/>
    </row>
    <row r="98" spans="2:28" s="172" customFormat="1" ht="17.25" customHeight="1" x14ac:dyDescent="0.15">
      <c r="B98" s="1366"/>
      <c r="C98" s="1367"/>
      <c r="D98" s="1368"/>
      <c r="E98" s="233"/>
      <c r="F98" s="1455">
        <f>IF(OR($Z$91="非該当",$Z$91="算出不能"),DATE(YEAR($I$27)-3,MONTH($I$27),DAY($I$27)),"")</f>
        <v>44470</v>
      </c>
      <c r="G98" s="1456"/>
      <c r="H98" s="1457"/>
      <c r="I98" s="784">
        <v>6</v>
      </c>
      <c r="J98" s="785"/>
      <c r="K98" s="786"/>
      <c r="L98" s="784">
        <v>13</v>
      </c>
      <c r="M98" s="785"/>
      <c r="N98" s="786"/>
      <c r="O98" s="1082">
        <f>IF(F98="","",I98+L98)</f>
        <v>19</v>
      </c>
      <c r="P98" s="1083"/>
      <c r="Q98" s="1084"/>
      <c r="R98" s="460">
        <f>IF(F98="","",ROUND(I98/O98,3))</f>
        <v>0.316</v>
      </c>
      <c r="S98" s="461"/>
      <c r="T98" s="462"/>
      <c r="U98" s="1311" t="str">
        <f>IF(F98="","～",P17&amp;"～"&amp;Q19)</f>
        <v>2023～2021年</v>
      </c>
      <c r="V98" s="1312"/>
      <c r="W98" s="1312"/>
      <c r="X98" s="1313"/>
      <c r="Y98" s="1351">
        <f>IF(F98="","",ROUND(AVERAGE(R96,R97,R98),3))</f>
        <v>0.30499999999999999</v>
      </c>
      <c r="Z98" s="1352"/>
      <c r="AA98" s="1353"/>
      <c r="AB98" s="165"/>
    </row>
    <row r="99" spans="2:28" s="172" customFormat="1" ht="17.25" customHeight="1" x14ac:dyDescent="0.15">
      <c r="B99" s="1366"/>
      <c r="C99" s="1367"/>
      <c r="D99" s="1368"/>
      <c r="E99" s="233"/>
      <c r="F99" s="1455">
        <f>IF(OR($Z$91="非該当",$Z$91="算出不能"),DATE(YEAR($I$27)-4,MONTH($I$27),DAY($I$27)),"")</f>
        <v>44105</v>
      </c>
      <c r="G99" s="1456"/>
      <c r="H99" s="1457"/>
      <c r="I99" s="784">
        <v>5</v>
      </c>
      <c r="J99" s="785"/>
      <c r="K99" s="786"/>
      <c r="L99" s="784">
        <v>13</v>
      </c>
      <c r="M99" s="785"/>
      <c r="N99" s="786"/>
      <c r="O99" s="1082">
        <f>IF(F99="","",I99+L99)</f>
        <v>18</v>
      </c>
      <c r="P99" s="1083"/>
      <c r="Q99" s="1084"/>
      <c r="R99" s="460">
        <f>IF(F99="","",ROUND(I99/O99,3))</f>
        <v>0.27800000000000002</v>
      </c>
      <c r="S99" s="461"/>
      <c r="T99" s="462"/>
      <c r="U99" s="1311" t="str">
        <f>IF(F99="","～",P18&amp;"～"&amp;Q20)</f>
        <v>2022～2020年</v>
      </c>
      <c r="V99" s="1312"/>
      <c r="W99" s="1312"/>
      <c r="X99" s="1313"/>
      <c r="Y99" s="1351">
        <f>IF(F99="","",ROUND(AVERAGE(R97,R98,R99),3))</f>
        <v>0.29799999999999999</v>
      </c>
      <c r="Z99" s="1352"/>
      <c r="AA99" s="1353"/>
      <c r="AB99" s="165"/>
    </row>
    <row r="100" spans="2:28" ht="17.25" customHeight="1" x14ac:dyDescent="0.15">
      <c r="U100" s="165"/>
      <c r="V100" s="165"/>
      <c r="W100" s="165"/>
      <c r="X100" s="165"/>
      <c r="Y100" s="165"/>
      <c r="Z100" s="165"/>
      <c r="AA100" s="165"/>
      <c r="AB100" s="165"/>
    </row>
    <row r="101" spans="2:28" ht="17.25" customHeight="1" x14ac:dyDescent="0.15">
      <c r="U101" s="165"/>
      <c r="V101" s="165"/>
      <c r="W101" s="165"/>
      <c r="X101" s="165"/>
      <c r="Y101" s="165"/>
      <c r="Z101" s="165"/>
      <c r="AA101" s="165"/>
      <c r="AB101" s="165"/>
    </row>
    <row r="102" spans="2:28" ht="17.25" customHeight="1" x14ac:dyDescent="0.15">
      <c r="B102" s="171" t="s">
        <v>52</v>
      </c>
      <c r="U102" s="165"/>
      <c r="V102" s="165"/>
      <c r="W102" s="165"/>
      <c r="X102" s="165"/>
      <c r="Y102" s="165"/>
    </row>
    <row r="103" spans="2:28" ht="17.25" customHeight="1" thickBot="1" x14ac:dyDescent="0.2">
      <c r="C103" s="172" t="s">
        <v>66</v>
      </c>
    </row>
    <row r="104" spans="2:28" s="172" customFormat="1" ht="47.25" customHeight="1" thickTop="1" x14ac:dyDescent="0.15">
      <c r="B104" s="1085" t="s">
        <v>12</v>
      </c>
      <c r="C104" s="1086"/>
      <c r="D104" s="1087"/>
      <c r="E104" s="236"/>
      <c r="F104" s="1085" t="s">
        <v>5</v>
      </c>
      <c r="G104" s="1089"/>
      <c r="H104" s="1090"/>
      <c r="I104" s="1085" t="s">
        <v>47</v>
      </c>
      <c r="J104" s="1086"/>
      <c r="K104" s="1087"/>
      <c r="L104" s="1085" t="s">
        <v>49</v>
      </c>
      <c r="M104" s="1089"/>
      <c r="N104" s="1090"/>
      <c r="O104" s="1085" t="s">
        <v>48</v>
      </c>
      <c r="P104" s="1089"/>
      <c r="Q104" s="1089"/>
      <c r="R104" s="1105" t="s">
        <v>10</v>
      </c>
      <c r="S104" s="1149"/>
      <c r="T104" s="1106"/>
      <c r="U104" s="1105" t="s">
        <v>235</v>
      </c>
      <c r="V104" s="1149"/>
      <c r="W104" s="1149"/>
      <c r="X104" s="1149"/>
      <c r="Y104" s="1106"/>
      <c r="Z104" s="1105" t="s">
        <v>50</v>
      </c>
      <c r="AA104" s="1106"/>
    </row>
    <row r="105" spans="2:28" s="172" customFormat="1" ht="17.25" customHeight="1" x14ac:dyDescent="0.15">
      <c r="B105" s="615"/>
      <c r="C105" s="1240"/>
      <c r="D105" s="617"/>
      <c r="E105" s="237"/>
      <c r="F105" s="1500" t="str">
        <f>IF(I30&lt;&gt;"設定あり","",$I$27)</f>
        <v/>
      </c>
      <c r="G105" s="1501"/>
      <c r="H105" s="1502"/>
      <c r="I105" s="802"/>
      <c r="J105" s="1363"/>
      <c r="K105" s="804"/>
      <c r="L105" s="808"/>
      <c r="M105" s="809"/>
      <c r="N105" s="810"/>
      <c r="O105" s="1103" t="str">
        <f>IF(F105="","",I105+L105)</f>
        <v/>
      </c>
      <c r="P105" s="1104"/>
      <c r="Q105" s="1104"/>
      <c r="R105" s="503" t="str">
        <f>IF(F105="","",ROUND(I105/O105,3))</f>
        <v/>
      </c>
      <c r="S105" s="504"/>
      <c r="T105" s="505"/>
      <c r="U105" s="1170" t="str">
        <f>IF(F105="","",R25)</f>
        <v/>
      </c>
      <c r="V105" s="1171"/>
      <c r="W105" s="1171"/>
      <c r="X105" s="1171"/>
      <c r="Y105" s="1172"/>
      <c r="Z105" s="818"/>
      <c r="AA105" s="819"/>
    </row>
    <row r="106" spans="2:28" s="172" customFormat="1" ht="17.25" customHeight="1" thickBot="1" x14ac:dyDescent="0.2">
      <c r="B106" s="618"/>
      <c r="C106" s="619"/>
      <c r="D106" s="620"/>
      <c r="E106" s="237"/>
      <c r="F106" s="1467"/>
      <c r="G106" s="1468"/>
      <c r="H106" s="1469"/>
      <c r="I106" s="805"/>
      <c r="J106" s="806"/>
      <c r="K106" s="807"/>
      <c r="L106" s="805"/>
      <c r="M106" s="806"/>
      <c r="N106" s="807"/>
      <c r="O106" s="1364"/>
      <c r="P106" s="1365"/>
      <c r="Q106" s="1365"/>
      <c r="R106" s="506"/>
      <c r="S106" s="507"/>
      <c r="T106" s="508"/>
      <c r="U106" s="796"/>
      <c r="V106" s="797"/>
      <c r="W106" s="797"/>
      <c r="X106" s="797"/>
      <c r="Y106" s="798"/>
      <c r="Z106" s="820"/>
      <c r="AA106" s="821"/>
    </row>
    <row r="107" spans="2:28" ht="17.25" customHeight="1" thickTop="1" x14ac:dyDescent="0.15">
      <c r="V107" s="165" t="str">
        <f>IF(B105="","",IF(U106="","上段に産業分類、下段に産業平均値を記載↑ ",""))</f>
        <v/>
      </c>
      <c r="Y107" s="234"/>
      <c r="AA107" s="165" t="str">
        <f>IF(B105="","",IF(Z105="","リストから選択↑　",""))</f>
        <v/>
      </c>
    </row>
    <row r="108" spans="2:28" ht="17.25" customHeight="1" x14ac:dyDescent="0.15">
      <c r="B108" s="172" t="s">
        <v>209</v>
      </c>
      <c r="U108" s="165"/>
      <c r="V108" s="165"/>
      <c r="W108" s="165"/>
      <c r="X108" s="165"/>
      <c r="Y108" s="165"/>
      <c r="Z108" s="165"/>
      <c r="AA108" s="165"/>
      <c r="AB108" s="165"/>
    </row>
    <row r="109" spans="2:28" s="172" customFormat="1" ht="47.25" customHeight="1" x14ac:dyDescent="0.15">
      <c r="B109" s="1085" t="s">
        <v>12</v>
      </c>
      <c r="C109" s="1086"/>
      <c r="D109" s="1087"/>
      <c r="E109" s="223"/>
      <c r="F109" s="1085" t="s">
        <v>163</v>
      </c>
      <c r="G109" s="1089"/>
      <c r="H109" s="1090"/>
      <c r="I109" s="1085" t="s">
        <v>47</v>
      </c>
      <c r="J109" s="1086"/>
      <c r="K109" s="1087"/>
      <c r="L109" s="1085" t="s">
        <v>49</v>
      </c>
      <c r="M109" s="1089"/>
      <c r="N109" s="1090"/>
      <c r="O109" s="1085" t="s">
        <v>48</v>
      </c>
      <c r="P109" s="1089"/>
      <c r="Q109" s="1089"/>
      <c r="R109" s="1085" t="s">
        <v>10</v>
      </c>
      <c r="S109" s="1089"/>
      <c r="T109" s="1090"/>
      <c r="U109" s="235"/>
      <c r="V109" s="218"/>
      <c r="W109" s="218"/>
      <c r="X109" s="218"/>
      <c r="Y109" s="218"/>
      <c r="Z109" s="218"/>
      <c r="AA109" s="180"/>
      <c r="AB109" s="165"/>
    </row>
    <row r="110" spans="2:28" s="172" customFormat="1" ht="17.25" customHeight="1" x14ac:dyDescent="0.15">
      <c r="B110" s="1180" t="str">
        <f>IF(F110="","",B105)</f>
        <v/>
      </c>
      <c r="C110" s="1181"/>
      <c r="D110" s="1182"/>
      <c r="E110" s="179"/>
      <c r="F110" s="1455" t="str">
        <f>IF(AND(F$105&lt;&gt;"",OR($Z$105="非該当",$Z$105="算出不能")),DATE(YEAR($I$27)-1,MONTH($I$27),DAY($I$27)),"")</f>
        <v/>
      </c>
      <c r="G110" s="1456"/>
      <c r="H110" s="1457"/>
      <c r="I110" s="784"/>
      <c r="J110" s="785"/>
      <c r="K110" s="786"/>
      <c r="L110" s="784"/>
      <c r="M110" s="785"/>
      <c r="N110" s="786"/>
      <c r="O110" s="1082" t="str">
        <f>IF(F110="","",I110+L110)</f>
        <v/>
      </c>
      <c r="P110" s="1083"/>
      <c r="Q110" s="1084"/>
      <c r="R110" s="460" t="str">
        <f>IF(F110="","",ROUND(I110/O110,3))</f>
        <v/>
      </c>
      <c r="S110" s="461"/>
      <c r="T110" s="462"/>
      <c r="U110" s="1088" t="s">
        <v>187</v>
      </c>
      <c r="V110" s="1089"/>
      <c r="W110" s="1089"/>
      <c r="X110" s="1089"/>
      <c r="Y110" s="1089"/>
      <c r="Z110" s="1089"/>
      <c r="AA110" s="1090"/>
      <c r="AB110" s="165"/>
    </row>
    <row r="111" spans="2:28" s="172" customFormat="1" ht="17.25" customHeight="1" x14ac:dyDescent="0.15">
      <c r="B111" s="1354"/>
      <c r="C111" s="1355"/>
      <c r="D111" s="1356"/>
      <c r="E111" s="179"/>
      <c r="F111" s="1455" t="str">
        <f>IF(AND(F$105&lt;&gt;"",OR($Z$105="非該当",$Z$105="算出不能")),DATE(YEAR($I$27)-2,MONTH($I$27),DAY($I$27)),"")</f>
        <v/>
      </c>
      <c r="G111" s="1456"/>
      <c r="H111" s="1457"/>
      <c r="I111" s="784"/>
      <c r="J111" s="785"/>
      <c r="K111" s="786"/>
      <c r="L111" s="784"/>
      <c r="M111" s="785"/>
      <c r="N111" s="786"/>
      <c r="O111" s="1082" t="str">
        <f>IF(F111="","",I111+L111)</f>
        <v/>
      </c>
      <c r="P111" s="1083"/>
      <c r="Q111" s="1084"/>
      <c r="R111" s="460" t="str">
        <f>IF(F111="","",ROUND(I111/O111,3))</f>
        <v/>
      </c>
      <c r="S111" s="461"/>
      <c r="T111" s="462"/>
      <c r="U111" s="1311" t="str">
        <f>IF(F111="","～",P16&amp;"～"&amp;Q18)</f>
        <v>～</v>
      </c>
      <c r="V111" s="1312"/>
      <c r="W111" s="1312"/>
      <c r="X111" s="1313"/>
      <c r="Y111" s="1351" t="str">
        <f>IF(F111="","",ROUND(AVERAGE(R105,R110,R111),3))</f>
        <v/>
      </c>
      <c r="Z111" s="1352"/>
      <c r="AA111" s="1353"/>
      <c r="AB111" s="165"/>
    </row>
    <row r="112" spans="2:28" s="172" customFormat="1" ht="17.25" customHeight="1" x14ac:dyDescent="0.15">
      <c r="B112" s="1354"/>
      <c r="C112" s="1355"/>
      <c r="D112" s="1356"/>
      <c r="E112" s="179"/>
      <c r="F112" s="1455" t="str">
        <f>IF(AND(F$105&lt;&gt;"",OR($Z$105="非該当",$Z$105="算出不能")),DATE(YEAR($I$27)-3,MONTH($I$27),DAY($I$27)),"")</f>
        <v/>
      </c>
      <c r="G112" s="1456"/>
      <c r="H112" s="1457"/>
      <c r="I112" s="784"/>
      <c r="J112" s="785"/>
      <c r="K112" s="786"/>
      <c r="L112" s="784"/>
      <c r="M112" s="785"/>
      <c r="N112" s="786"/>
      <c r="O112" s="1082" t="str">
        <f>IF(F112="","",I112+L112)</f>
        <v/>
      </c>
      <c r="P112" s="1083"/>
      <c r="Q112" s="1084"/>
      <c r="R112" s="460" t="str">
        <f>IF(F112="","",ROUND(I112/O112,3))</f>
        <v/>
      </c>
      <c r="S112" s="461"/>
      <c r="T112" s="462"/>
      <c r="U112" s="1311" t="str">
        <f>IF(F112="","～",P17&amp;"～"&amp;Q19)</f>
        <v>～</v>
      </c>
      <c r="V112" s="1312"/>
      <c r="W112" s="1312"/>
      <c r="X112" s="1313"/>
      <c r="Y112" s="1351" t="str">
        <f>IF(F112="","",ROUND(AVERAGE(R110,R111,R112),3))</f>
        <v/>
      </c>
      <c r="Z112" s="1352"/>
      <c r="AA112" s="1353"/>
      <c r="AB112" s="165"/>
    </row>
    <row r="113" spans="2:28" s="172" customFormat="1" ht="17.25" customHeight="1" x14ac:dyDescent="0.15">
      <c r="B113" s="1357"/>
      <c r="C113" s="1358"/>
      <c r="D113" s="1359"/>
      <c r="E113" s="179"/>
      <c r="F113" s="1455" t="str">
        <f>IF(AND(F$105&lt;&gt;"",OR($Z$105="非該当",$Z$105="算出不能")),DATE(YEAR($I$27)-4,MONTH($I$27),DAY($I$27)),"")</f>
        <v/>
      </c>
      <c r="G113" s="1456"/>
      <c r="H113" s="1457"/>
      <c r="I113" s="784"/>
      <c r="J113" s="785"/>
      <c r="K113" s="786"/>
      <c r="L113" s="784"/>
      <c r="M113" s="785"/>
      <c r="N113" s="786"/>
      <c r="O113" s="1082" t="str">
        <f>IF(F113="","",I113+L113)</f>
        <v/>
      </c>
      <c r="P113" s="1083"/>
      <c r="Q113" s="1084"/>
      <c r="R113" s="460" t="str">
        <f>IF(F113="","",ROUND(I113/O113,3))</f>
        <v/>
      </c>
      <c r="S113" s="461"/>
      <c r="T113" s="462"/>
      <c r="U113" s="1311" t="str">
        <f>IF(F113="","～",P18&amp;"～"&amp;Q20)</f>
        <v>～</v>
      </c>
      <c r="V113" s="1312"/>
      <c r="W113" s="1312"/>
      <c r="X113" s="1313"/>
      <c r="Y113" s="1351" t="str">
        <f>IF(F113="","",ROUND(AVERAGE(R111,R112,R113),3))</f>
        <v/>
      </c>
      <c r="Z113" s="1352"/>
      <c r="AA113" s="1353"/>
      <c r="AB113" s="165"/>
    </row>
    <row r="114" spans="2:28" ht="17.25" customHeight="1" x14ac:dyDescent="0.15">
      <c r="H114" s="216"/>
    </row>
    <row r="115" spans="2:28" ht="30.75" customHeight="1" x14ac:dyDescent="0.15">
      <c r="B115" s="211" t="s">
        <v>156</v>
      </c>
      <c r="H115" s="211"/>
      <c r="AA115" s="212" t="str">
        <f>IF(G$23="","",G$23)</f>
        <v>株式会社参画企画</v>
      </c>
    </row>
    <row r="116" spans="2:28" s="176" customFormat="1" ht="17.25" customHeight="1" x14ac:dyDescent="0.15">
      <c r="B116" s="1107" t="s">
        <v>148</v>
      </c>
      <c r="C116" s="1108"/>
      <c r="D116" s="1108"/>
      <c r="E116" s="1108"/>
      <c r="F116" s="1108"/>
      <c r="G116" s="1108"/>
      <c r="H116" s="1108"/>
      <c r="I116" s="1108"/>
      <c r="J116" s="1108"/>
      <c r="K116" s="1108"/>
      <c r="L116" s="1108"/>
      <c r="M116" s="1108"/>
      <c r="N116" s="1108"/>
      <c r="O116" s="1108"/>
      <c r="P116" s="1108"/>
      <c r="Q116" s="1108"/>
      <c r="R116" s="1108"/>
      <c r="S116" s="1108"/>
      <c r="T116" s="1108"/>
      <c r="U116" s="1108"/>
      <c r="V116" s="1108"/>
      <c r="W116" s="1108"/>
      <c r="X116" s="1108"/>
      <c r="Y116" s="1108"/>
      <c r="Z116" s="1108"/>
      <c r="AA116" s="1109"/>
    </row>
    <row r="117" spans="2:28" s="176" customFormat="1" ht="17.25" customHeight="1" x14ac:dyDescent="0.15">
      <c r="B117" s="1113" t="s">
        <v>126</v>
      </c>
      <c r="C117" s="1114"/>
      <c r="D117" s="1114"/>
      <c r="E117" s="1114"/>
      <c r="F117" s="1114"/>
      <c r="G117" s="1114"/>
      <c r="H117" s="1114"/>
      <c r="I117" s="1114"/>
      <c r="J117" s="1114"/>
      <c r="K117" s="1114"/>
      <c r="L117" s="1114"/>
      <c r="M117" s="1114"/>
      <c r="N117" s="1114"/>
      <c r="O117" s="1114"/>
      <c r="P117" s="1114"/>
      <c r="Q117" s="1114"/>
      <c r="R117" s="1114"/>
      <c r="S117" s="1114"/>
      <c r="T117" s="1114"/>
      <c r="U117" s="1114"/>
      <c r="V117" s="1114"/>
      <c r="W117" s="1114"/>
      <c r="X117" s="1114"/>
      <c r="Y117" s="1114"/>
      <c r="Z117" s="1114"/>
      <c r="AA117" s="1115"/>
    </row>
    <row r="118" spans="2:28" s="176" customFormat="1" ht="27" customHeight="1" x14ac:dyDescent="0.15">
      <c r="B118" s="1113" t="s">
        <v>87</v>
      </c>
      <c r="C118" s="1176"/>
      <c r="D118" s="1176"/>
      <c r="E118" s="1176"/>
      <c r="F118" s="1176"/>
      <c r="G118" s="1176"/>
      <c r="H118" s="1176"/>
      <c r="I118" s="1176"/>
      <c r="J118" s="1176"/>
      <c r="K118" s="1176"/>
      <c r="L118" s="1176"/>
      <c r="M118" s="1176"/>
      <c r="N118" s="1176"/>
      <c r="O118" s="1176"/>
      <c r="P118" s="1176"/>
      <c r="Q118" s="1176"/>
      <c r="R118" s="1176"/>
      <c r="S118" s="1176"/>
      <c r="T118" s="1176"/>
      <c r="U118" s="1176"/>
      <c r="V118" s="1176"/>
      <c r="W118" s="1176"/>
      <c r="X118" s="1176"/>
      <c r="Y118" s="1176"/>
      <c r="Z118" s="1176"/>
      <c r="AA118" s="1177"/>
    </row>
    <row r="119" spans="2:28" s="176" customFormat="1" ht="37.5" customHeight="1" x14ac:dyDescent="0.15">
      <c r="B119" s="1113" t="s">
        <v>89</v>
      </c>
      <c r="C119" s="1176"/>
      <c r="D119" s="1176"/>
      <c r="E119" s="1176"/>
      <c r="F119" s="1176"/>
      <c r="G119" s="1176"/>
      <c r="H119" s="1176"/>
      <c r="I119" s="1176"/>
      <c r="J119" s="1176"/>
      <c r="K119" s="1176"/>
      <c r="L119" s="1176"/>
      <c r="M119" s="1176"/>
      <c r="N119" s="1176"/>
      <c r="O119" s="1176"/>
      <c r="P119" s="1176"/>
      <c r="Q119" s="1176"/>
      <c r="R119" s="1176"/>
      <c r="S119" s="1176"/>
      <c r="T119" s="1176"/>
      <c r="U119" s="1176"/>
      <c r="V119" s="1176"/>
      <c r="W119" s="1176"/>
      <c r="X119" s="1176"/>
      <c r="Y119" s="1176"/>
      <c r="Z119" s="1176"/>
      <c r="AA119" s="1177"/>
      <c r="AB119" s="176" t="s">
        <v>88</v>
      </c>
    </row>
    <row r="120" spans="2:28" s="176" customFormat="1" ht="27" customHeight="1" x14ac:dyDescent="0.15">
      <c r="B120" s="1116" t="s">
        <v>127</v>
      </c>
      <c r="C120" s="1117"/>
      <c r="D120" s="1117"/>
      <c r="E120" s="1117"/>
      <c r="F120" s="1117"/>
      <c r="G120" s="1117"/>
      <c r="H120" s="1117"/>
      <c r="I120" s="1117"/>
      <c r="J120" s="1117"/>
      <c r="K120" s="1117"/>
      <c r="L120" s="1117"/>
      <c r="M120" s="1117"/>
      <c r="N120" s="1117"/>
      <c r="O120" s="1117"/>
      <c r="P120" s="1117"/>
      <c r="Q120" s="1117"/>
      <c r="R120" s="1117"/>
      <c r="S120" s="1117"/>
      <c r="T120" s="1117"/>
      <c r="U120" s="1117"/>
      <c r="V120" s="1117"/>
      <c r="W120" s="1117"/>
      <c r="X120" s="1117"/>
      <c r="Y120" s="1117"/>
      <c r="Z120" s="1117"/>
      <c r="AA120" s="1118"/>
    </row>
    <row r="121" spans="2:28" ht="17.25" customHeight="1" x14ac:dyDescent="0.15">
      <c r="H121" s="216"/>
    </row>
    <row r="122" spans="2:28" ht="17.25" customHeight="1" x14ac:dyDescent="0.15">
      <c r="B122" s="232" t="s">
        <v>130</v>
      </c>
    </row>
    <row r="123" spans="2:28" ht="17.25" customHeight="1" x14ac:dyDescent="0.15">
      <c r="B123" s="171" t="s">
        <v>53</v>
      </c>
    </row>
    <row r="124" spans="2:28" ht="16.5" customHeight="1" thickBot="1" x14ac:dyDescent="0.2">
      <c r="C124" s="1207" t="s">
        <v>242</v>
      </c>
      <c r="D124" s="1208"/>
      <c r="E124" s="1208"/>
      <c r="F124" s="1208"/>
      <c r="G124" s="1208"/>
      <c r="H124" s="1208"/>
      <c r="I124" s="1208"/>
      <c r="J124" s="1208"/>
      <c r="K124" s="1208"/>
      <c r="L124" s="1208"/>
      <c r="M124" s="1208"/>
      <c r="N124" s="1208"/>
      <c r="O124" s="1208"/>
      <c r="P124" s="1208"/>
      <c r="Q124" s="1208"/>
      <c r="R124" s="1208"/>
      <c r="S124" s="1208"/>
      <c r="T124" s="1208"/>
      <c r="U124" s="1208"/>
      <c r="V124" s="1208"/>
      <c r="W124" s="1208"/>
      <c r="X124" s="1208"/>
      <c r="Y124" s="1208"/>
      <c r="Z124" s="1208"/>
      <c r="AA124" s="1208"/>
    </row>
    <row r="125" spans="2:28" s="172" customFormat="1" ht="47.25" customHeight="1" thickTop="1" x14ac:dyDescent="0.15">
      <c r="B125" s="1085" t="s">
        <v>5</v>
      </c>
      <c r="C125" s="1086"/>
      <c r="D125" s="1087"/>
      <c r="E125" s="238"/>
      <c r="F125" s="1088" t="s">
        <v>0</v>
      </c>
      <c r="G125" s="1089"/>
      <c r="H125" s="1090"/>
      <c r="I125" s="1085" t="s">
        <v>165</v>
      </c>
      <c r="J125" s="1086"/>
      <c r="K125" s="1086"/>
      <c r="L125" s="1087"/>
      <c r="M125" s="1085" t="s">
        <v>166</v>
      </c>
      <c r="N125" s="1086"/>
      <c r="O125" s="1086"/>
      <c r="P125" s="1086"/>
      <c r="Q125" s="1085" t="s">
        <v>176</v>
      </c>
      <c r="R125" s="1086"/>
      <c r="S125" s="1086"/>
      <c r="T125" s="1086"/>
      <c r="U125" s="1105" t="s">
        <v>210</v>
      </c>
      <c r="V125" s="1156"/>
      <c r="W125" s="1156"/>
      <c r="X125" s="1157"/>
      <c r="Y125" s="171"/>
      <c r="Z125" s="171"/>
      <c r="AA125" s="171"/>
    </row>
    <row r="126" spans="2:28" s="172" customFormat="1" ht="17.25" customHeight="1" x14ac:dyDescent="0.15">
      <c r="B126" s="1491">
        <f>IF($I$27="","",$I$27)</f>
        <v>45566</v>
      </c>
      <c r="C126" s="1492"/>
      <c r="D126" s="1493"/>
      <c r="E126" s="239"/>
      <c r="F126" s="773" t="s">
        <v>279</v>
      </c>
      <c r="G126" s="774"/>
      <c r="H126" s="775"/>
      <c r="I126" s="776">
        <v>14.3</v>
      </c>
      <c r="J126" s="777"/>
      <c r="K126" s="777"/>
      <c r="L126" s="778"/>
      <c r="M126" s="776">
        <v>15.6</v>
      </c>
      <c r="N126" s="777"/>
      <c r="O126" s="777"/>
      <c r="P126" s="777"/>
      <c r="Q126" s="1027">
        <f>IF(F126="","",IF(M126&lt;=0,"－",ROUND(I126/M126,2)))</f>
        <v>0.92</v>
      </c>
      <c r="R126" s="1028"/>
      <c r="S126" s="1028"/>
      <c r="T126" s="1028"/>
      <c r="U126" s="1338" t="str">
        <f>IF(F126="","",IF(M126&lt;=0,"算出不能",IF(AND(I126&gt;0,M126&gt;0,Q126&gt;=0.7),"Ｃ≧0.7",IF(AND(I126&gt;0,M126&gt;0,Q126&lt;0.7),"Ｃ＜0.7"))))</f>
        <v>Ｃ≧0.7</v>
      </c>
      <c r="V126" s="1312"/>
      <c r="W126" s="1312"/>
      <c r="X126" s="1339"/>
      <c r="Y126" s="171"/>
      <c r="Z126" s="171"/>
    </row>
    <row r="127" spans="2:28" s="172" customFormat="1" ht="17.25" customHeight="1" x14ac:dyDescent="0.15">
      <c r="B127" s="1494"/>
      <c r="C127" s="1495"/>
      <c r="D127" s="1496"/>
      <c r="E127" s="240"/>
      <c r="F127" s="773"/>
      <c r="G127" s="774"/>
      <c r="H127" s="775"/>
      <c r="I127" s="776"/>
      <c r="J127" s="777"/>
      <c r="K127" s="777"/>
      <c r="L127" s="778"/>
      <c r="M127" s="776"/>
      <c r="N127" s="777"/>
      <c r="O127" s="777"/>
      <c r="P127" s="777"/>
      <c r="Q127" s="1027" t="str">
        <f t="shared" ref="Q127:Q128" si="3">IF(F127="","",IF(M127&lt;=0,"－",ROUND(I127/M127,2)))</f>
        <v/>
      </c>
      <c r="R127" s="1028"/>
      <c r="S127" s="1028"/>
      <c r="T127" s="1028"/>
      <c r="U127" s="1338" t="str">
        <f t="shared" ref="U127:U128" si="4">IF(F127="","",IF(M127&lt;=0,"算出不能",IF(AND(I127&gt;0,M127&gt;0,Q127&gt;=0.7),"Ｃ≧0.7",IF(AND(I127&gt;0,M127&gt;0,Q127&lt;0.7),"Ｃ＜0.7"))))</f>
        <v/>
      </c>
      <c r="V127" s="1312"/>
      <c r="W127" s="1312"/>
      <c r="X127" s="1339"/>
      <c r="Y127" s="171"/>
      <c r="Z127" s="171"/>
      <c r="AA127" s="176"/>
    </row>
    <row r="128" spans="2:28" s="172" customFormat="1" ht="17.25" customHeight="1" thickBot="1" x14ac:dyDescent="0.2">
      <c r="B128" s="1497"/>
      <c r="C128" s="1498"/>
      <c r="D128" s="1499"/>
      <c r="E128" s="241"/>
      <c r="F128" s="612"/>
      <c r="G128" s="613"/>
      <c r="H128" s="614"/>
      <c r="I128" s="756"/>
      <c r="J128" s="757"/>
      <c r="K128" s="757"/>
      <c r="L128" s="758"/>
      <c r="M128" s="756"/>
      <c r="N128" s="757"/>
      <c r="O128" s="757"/>
      <c r="P128" s="757"/>
      <c r="Q128" s="1257" t="str">
        <f t="shared" si="3"/>
        <v/>
      </c>
      <c r="R128" s="1258"/>
      <c r="S128" s="1258"/>
      <c r="T128" s="1258"/>
      <c r="U128" s="1340" t="str">
        <f t="shared" si="4"/>
        <v/>
      </c>
      <c r="V128" s="1296"/>
      <c r="W128" s="1296"/>
      <c r="X128" s="1341"/>
      <c r="Y128" s="171"/>
      <c r="Z128" s="171"/>
      <c r="AA128" s="176"/>
    </row>
    <row r="129" spans="2:27" ht="27.75" customHeight="1" thickTop="1" thickBot="1" x14ac:dyDescent="0.2">
      <c r="C129" s="242"/>
      <c r="D129" s="242"/>
      <c r="E129" s="242"/>
      <c r="F129" s="1287" t="s">
        <v>195</v>
      </c>
      <c r="G129" s="1288"/>
      <c r="H129" s="1288"/>
      <c r="I129" s="1288"/>
      <c r="J129" s="1288"/>
      <c r="K129" s="1288"/>
      <c r="L129" s="1288"/>
      <c r="M129" s="1288"/>
      <c r="N129" s="1288"/>
      <c r="O129" s="1288"/>
      <c r="P129" s="1288"/>
      <c r="Q129" s="1288"/>
      <c r="R129" s="1288"/>
      <c r="S129" s="1288"/>
      <c r="T129" s="1288"/>
      <c r="U129" s="751" t="s">
        <v>269</v>
      </c>
      <c r="V129" s="751"/>
      <c r="W129" s="751"/>
      <c r="X129" s="752"/>
      <c r="AA129" s="180"/>
    </row>
    <row r="130" spans="2:27" ht="17.25" customHeight="1" thickTop="1" x14ac:dyDescent="0.15">
      <c r="X130" s="165" t="str">
        <f>IF(G23="","",IF(U129="","リストから選択↑　",""))</f>
        <v/>
      </c>
      <c r="AA130" s="180"/>
    </row>
    <row r="131" spans="2:27" ht="16.5" customHeight="1" x14ac:dyDescent="0.15">
      <c r="B131" s="172" t="s">
        <v>211</v>
      </c>
      <c r="C131" s="172"/>
      <c r="D131" s="172"/>
      <c r="E131" s="172"/>
      <c r="F131" s="172"/>
      <c r="G131" s="172"/>
      <c r="H131" s="172"/>
      <c r="I131" s="172"/>
      <c r="J131" s="172"/>
      <c r="K131" s="172"/>
      <c r="L131" s="172"/>
      <c r="M131" s="172"/>
      <c r="N131" s="172"/>
      <c r="O131" s="172"/>
      <c r="P131" s="172"/>
      <c r="Q131" s="172"/>
      <c r="R131" s="172"/>
      <c r="S131" s="172"/>
      <c r="T131" s="172"/>
      <c r="U131" s="172"/>
      <c r="V131" s="172"/>
      <c r="W131" s="172"/>
      <c r="X131" s="172"/>
      <c r="Y131" s="172"/>
      <c r="Z131" s="172"/>
      <c r="AA131" s="172"/>
    </row>
    <row r="132" spans="2:27" ht="27.75" customHeight="1" x14ac:dyDescent="0.15">
      <c r="C132" s="1207" t="s">
        <v>243</v>
      </c>
      <c r="D132" s="1208"/>
      <c r="E132" s="1208"/>
      <c r="F132" s="1208"/>
      <c r="G132" s="1208"/>
      <c r="H132" s="1208"/>
      <c r="I132" s="1208"/>
      <c r="J132" s="1208"/>
      <c r="K132" s="1208"/>
      <c r="L132" s="1208"/>
      <c r="M132" s="1208"/>
      <c r="N132" s="1208"/>
      <c r="O132" s="1208"/>
      <c r="P132" s="1208"/>
      <c r="Q132" s="1208"/>
      <c r="R132" s="1208"/>
      <c r="S132" s="1208"/>
      <c r="T132" s="1208"/>
      <c r="U132" s="1208"/>
      <c r="V132" s="1208"/>
      <c r="W132" s="1208"/>
      <c r="X132" s="1208"/>
      <c r="Y132" s="1208"/>
      <c r="Z132" s="1208"/>
      <c r="AA132" s="1208"/>
    </row>
    <row r="133" spans="2:27" s="172" customFormat="1" ht="47.25" customHeight="1" x14ac:dyDescent="0.15">
      <c r="B133" s="1085" t="s">
        <v>164</v>
      </c>
      <c r="C133" s="1086"/>
      <c r="D133" s="1087"/>
      <c r="E133" s="238"/>
      <c r="F133" s="1088" t="s">
        <v>0</v>
      </c>
      <c r="G133" s="1089"/>
      <c r="H133" s="1090"/>
      <c r="I133" s="1085" t="s">
        <v>165</v>
      </c>
      <c r="J133" s="1086"/>
      <c r="K133" s="1086"/>
      <c r="L133" s="1087"/>
      <c r="M133" s="1085" t="s">
        <v>166</v>
      </c>
      <c r="N133" s="1086"/>
      <c r="O133" s="1086"/>
      <c r="P133" s="1086"/>
      <c r="Q133" s="1254" t="s">
        <v>176</v>
      </c>
      <c r="R133" s="1255"/>
      <c r="S133" s="1255"/>
      <c r="T133" s="1322"/>
      <c r="U133" s="171"/>
      <c r="V133" s="171"/>
      <c r="W133" s="171"/>
      <c r="X133" s="171"/>
      <c r="Y133" s="171"/>
      <c r="Z133" s="171"/>
      <c r="AA133" s="180"/>
    </row>
    <row r="134" spans="2:27" s="172" customFormat="1" ht="17.25" customHeight="1" x14ac:dyDescent="0.15">
      <c r="B134" s="1482" t="str">
        <f>IF($U$129="非該当",DATE(YEAR($I$27)-1,MONTH($I$27),DAY($I$27)),"")</f>
        <v/>
      </c>
      <c r="C134" s="1483"/>
      <c r="D134" s="1484"/>
      <c r="E134" s="243"/>
      <c r="F134" s="1326" t="str">
        <f>IF(B134="","",IF(F126="","",F126))</f>
        <v/>
      </c>
      <c r="G134" s="1327"/>
      <c r="H134" s="1328"/>
      <c r="I134" s="738"/>
      <c r="J134" s="739"/>
      <c r="K134" s="739"/>
      <c r="L134" s="740"/>
      <c r="M134" s="738"/>
      <c r="N134" s="739"/>
      <c r="O134" s="739"/>
      <c r="P134" s="739"/>
      <c r="Q134" s="1027" t="str">
        <f>IF(F134="","",IF(OR(M134="",M134=0),"－",ROUND(I134/M134,2)))</f>
        <v/>
      </c>
      <c r="R134" s="1028"/>
      <c r="S134" s="1028"/>
      <c r="T134" s="1282"/>
      <c r="AA134" s="180"/>
    </row>
    <row r="135" spans="2:27" s="172" customFormat="1" ht="17.25" customHeight="1" x14ac:dyDescent="0.15">
      <c r="B135" s="1485"/>
      <c r="C135" s="1486"/>
      <c r="D135" s="1487"/>
      <c r="E135" s="244"/>
      <c r="F135" s="1326" t="str">
        <f>IF(B134="","",IF(F127="","",F127))</f>
        <v/>
      </c>
      <c r="G135" s="1327"/>
      <c r="H135" s="1328"/>
      <c r="I135" s="738"/>
      <c r="J135" s="739"/>
      <c r="K135" s="739"/>
      <c r="L135" s="740"/>
      <c r="M135" s="738"/>
      <c r="N135" s="739"/>
      <c r="O135" s="739"/>
      <c r="P135" s="739"/>
      <c r="Q135" s="1027" t="str">
        <f t="shared" ref="Q135:Q145" si="5">IF(F135="","",IF(OR(M135="",M135=0),"－",ROUND(I135/M135,2)))</f>
        <v/>
      </c>
      <c r="R135" s="1028"/>
      <c r="S135" s="1028"/>
      <c r="T135" s="1282"/>
      <c r="U135" s="171"/>
      <c r="V135" s="171"/>
      <c r="W135" s="171"/>
      <c r="X135" s="171"/>
      <c r="Y135" s="171"/>
      <c r="Z135" s="171"/>
      <c r="AA135" s="180"/>
    </row>
    <row r="136" spans="2:27" s="172" customFormat="1" ht="17.25" customHeight="1" x14ac:dyDescent="0.15">
      <c r="B136" s="1488"/>
      <c r="C136" s="1489"/>
      <c r="D136" s="1490"/>
      <c r="E136" s="245"/>
      <c r="F136" s="1326" t="str">
        <f>IF(B134="","",IF(F128="","",F128))</f>
        <v/>
      </c>
      <c r="G136" s="1327"/>
      <c r="H136" s="1328"/>
      <c r="I136" s="738"/>
      <c r="J136" s="739"/>
      <c r="K136" s="739"/>
      <c r="L136" s="740"/>
      <c r="M136" s="738"/>
      <c r="N136" s="739"/>
      <c r="O136" s="739"/>
      <c r="P136" s="739"/>
      <c r="Q136" s="1027" t="str">
        <f t="shared" si="5"/>
        <v/>
      </c>
      <c r="R136" s="1028"/>
      <c r="S136" s="1028"/>
      <c r="T136" s="1282"/>
      <c r="U136" s="1088" t="s">
        <v>168</v>
      </c>
      <c r="V136" s="1089"/>
      <c r="W136" s="1089"/>
      <c r="X136" s="1089"/>
      <c r="Y136" s="1089"/>
      <c r="Z136" s="1089"/>
      <c r="AA136" s="1090"/>
    </row>
    <row r="137" spans="2:27" s="172" customFormat="1" ht="17.25" customHeight="1" x14ac:dyDescent="0.15">
      <c r="B137" s="1482" t="str">
        <f>IF($U$129="非該当",DATE(YEAR($I$27)-2,MONTH($I$27),DAY($I$27)),"")</f>
        <v/>
      </c>
      <c r="C137" s="1483"/>
      <c r="D137" s="1484"/>
      <c r="E137" s="243"/>
      <c r="F137" s="1326" t="str">
        <f>IF(B137="","",IF(F126="","",F126))</f>
        <v/>
      </c>
      <c r="G137" s="1327"/>
      <c r="H137" s="1328"/>
      <c r="I137" s="738"/>
      <c r="J137" s="739"/>
      <c r="K137" s="739"/>
      <c r="L137" s="740"/>
      <c r="M137" s="738"/>
      <c r="N137" s="739"/>
      <c r="O137" s="739"/>
      <c r="P137" s="739"/>
      <c r="Q137" s="1027" t="str">
        <f t="shared" si="5"/>
        <v/>
      </c>
      <c r="R137" s="1028"/>
      <c r="S137" s="1028"/>
      <c r="T137" s="1282"/>
      <c r="U137" s="1202" t="str">
        <f>IF(B137="","",Q16)</f>
        <v/>
      </c>
      <c r="V137" s="1203"/>
      <c r="W137" s="1185" t="str">
        <f t="shared" ref="W137:W145" si="6">IF(F137="","",F137)</f>
        <v/>
      </c>
      <c r="X137" s="1186"/>
      <c r="Y137" s="1187"/>
      <c r="Z137" s="1323" t="str">
        <f>IF(W137="","",ROUND(SUMIF(F$126:H$139,W137,Q$126:T$139)/3,2))</f>
        <v/>
      </c>
      <c r="AA137" s="1324"/>
    </row>
    <row r="138" spans="2:27" s="172" customFormat="1" ht="17.25" customHeight="1" x14ac:dyDescent="0.15">
      <c r="B138" s="1485"/>
      <c r="C138" s="1486"/>
      <c r="D138" s="1487"/>
      <c r="E138" s="244"/>
      <c r="F138" s="1326" t="str">
        <f>IF(B137="","",IF(F127="","",F127))</f>
        <v/>
      </c>
      <c r="G138" s="1327"/>
      <c r="H138" s="1328"/>
      <c r="I138" s="738"/>
      <c r="J138" s="739"/>
      <c r="K138" s="739"/>
      <c r="L138" s="740"/>
      <c r="M138" s="738"/>
      <c r="N138" s="739"/>
      <c r="O138" s="739"/>
      <c r="P138" s="739"/>
      <c r="Q138" s="1027" t="str">
        <f t="shared" si="5"/>
        <v/>
      </c>
      <c r="R138" s="1028"/>
      <c r="S138" s="1028"/>
      <c r="T138" s="1282"/>
      <c r="U138" s="1191" t="s">
        <v>77</v>
      </c>
      <c r="V138" s="1192"/>
      <c r="W138" s="1185" t="str">
        <f t="shared" si="6"/>
        <v/>
      </c>
      <c r="X138" s="1186"/>
      <c r="Y138" s="1187"/>
      <c r="Z138" s="1323" t="str">
        <f>IF(W138="","",ROUND(SUMIF(F$126:H$139,W138,Q$126:T$139)/3,2))</f>
        <v/>
      </c>
      <c r="AA138" s="1324"/>
    </row>
    <row r="139" spans="2:27" s="172" customFormat="1" ht="17.25" customHeight="1" x14ac:dyDescent="0.15">
      <c r="B139" s="1488"/>
      <c r="C139" s="1489"/>
      <c r="D139" s="1490"/>
      <c r="E139" s="245"/>
      <c r="F139" s="1326" t="str">
        <f>IF(B137="","",IF(F128="","",F128))</f>
        <v/>
      </c>
      <c r="G139" s="1327"/>
      <c r="H139" s="1328"/>
      <c r="I139" s="738"/>
      <c r="J139" s="739"/>
      <c r="K139" s="739"/>
      <c r="L139" s="740"/>
      <c r="M139" s="738"/>
      <c r="N139" s="739"/>
      <c r="O139" s="739"/>
      <c r="P139" s="739"/>
      <c r="Q139" s="1027" t="str">
        <f t="shared" si="5"/>
        <v/>
      </c>
      <c r="R139" s="1028"/>
      <c r="S139" s="1028"/>
      <c r="T139" s="1282"/>
      <c r="U139" s="1183" t="str">
        <f>IF(B137="","",Q18)</f>
        <v/>
      </c>
      <c r="V139" s="1184"/>
      <c r="W139" s="1185" t="str">
        <f t="shared" si="6"/>
        <v/>
      </c>
      <c r="X139" s="1186"/>
      <c r="Y139" s="1187"/>
      <c r="Z139" s="1323" t="str">
        <f>IF(W139="","",ROUND(SUMIF(F$126:H$139,W139,Q$126:T$139)/3,2))</f>
        <v/>
      </c>
      <c r="AA139" s="1324"/>
    </row>
    <row r="140" spans="2:27" s="172" customFormat="1" ht="17.25" customHeight="1" x14ac:dyDescent="0.15">
      <c r="B140" s="1482" t="str">
        <f>IF($U$129="非該当",DATE(YEAR($I$27)-3,MONTH($I$27),DAY($I$27)),"")</f>
        <v/>
      </c>
      <c r="C140" s="1483"/>
      <c r="D140" s="1484"/>
      <c r="E140" s="243"/>
      <c r="F140" s="1326" t="str">
        <f>IF(B140="","",IF(F126="","",F126))</f>
        <v/>
      </c>
      <c r="G140" s="1327"/>
      <c r="H140" s="1328"/>
      <c r="I140" s="738"/>
      <c r="J140" s="739"/>
      <c r="K140" s="739"/>
      <c r="L140" s="740"/>
      <c r="M140" s="738"/>
      <c r="N140" s="739"/>
      <c r="O140" s="739"/>
      <c r="P140" s="739"/>
      <c r="Q140" s="1027" t="str">
        <f t="shared" si="5"/>
        <v/>
      </c>
      <c r="R140" s="1028"/>
      <c r="S140" s="1028"/>
      <c r="T140" s="1282"/>
      <c r="U140" s="1202" t="str">
        <f>IF(B140="","",Q17)</f>
        <v/>
      </c>
      <c r="V140" s="1203"/>
      <c r="W140" s="1185" t="str">
        <f t="shared" si="6"/>
        <v/>
      </c>
      <c r="X140" s="1186"/>
      <c r="Y140" s="1187"/>
      <c r="Z140" s="1323" t="str">
        <f>IF(W140="","",ROUND(SUMIF(F$134:H$142,W140,Q$134:T$142)/3,2))</f>
        <v/>
      </c>
      <c r="AA140" s="1324"/>
    </row>
    <row r="141" spans="2:27" s="172" customFormat="1" ht="17.25" customHeight="1" x14ac:dyDescent="0.15">
      <c r="B141" s="1485"/>
      <c r="C141" s="1486"/>
      <c r="D141" s="1487"/>
      <c r="E141" s="244"/>
      <c r="F141" s="1326" t="str">
        <f>IF(B140="","",IF(F127="","",F127))</f>
        <v/>
      </c>
      <c r="G141" s="1327"/>
      <c r="H141" s="1328"/>
      <c r="I141" s="738"/>
      <c r="J141" s="739"/>
      <c r="K141" s="739"/>
      <c r="L141" s="740"/>
      <c r="M141" s="738"/>
      <c r="N141" s="739"/>
      <c r="O141" s="739"/>
      <c r="P141" s="739"/>
      <c r="Q141" s="1027" t="str">
        <f t="shared" si="5"/>
        <v/>
      </c>
      <c r="R141" s="1028"/>
      <c r="S141" s="1028"/>
      <c r="T141" s="1282"/>
      <c r="U141" s="1191" t="s">
        <v>77</v>
      </c>
      <c r="V141" s="1192"/>
      <c r="W141" s="1185" t="str">
        <f t="shared" si="6"/>
        <v/>
      </c>
      <c r="X141" s="1186"/>
      <c r="Y141" s="1187"/>
      <c r="Z141" s="1323" t="str">
        <f>IF(W141="","",ROUND(SUMIF(F$134:H$142,W141,Q$134:T$142)/3,2))</f>
        <v/>
      </c>
      <c r="AA141" s="1324"/>
    </row>
    <row r="142" spans="2:27" s="172" customFormat="1" ht="17.25" customHeight="1" x14ac:dyDescent="0.15">
      <c r="B142" s="1488"/>
      <c r="C142" s="1489"/>
      <c r="D142" s="1490"/>
      <c r="E142" s="245"/>
      <c r="F142" s="1326" t="str">
        <f>IF(B140="","",IF(F128="","",F128))</f>
        <v/>
      </c>
      <c r="G142" s="1327"/>
      <c r="H142" s="1328"/>
      <c r="I142" s="738"/>
      <c r="J142" s="739"/>
      <c r="K142" s="739"/>
      <c r="L142" s="740"/>
      <c r="M142" s="738"/>
      <c r="N142" s="739"/>
      <c r="O142" s="739"/>
      <c r="P142" s="739"/>
      <c r="Q142" s="1027" t="str">
        <f t="shared" si="5"/>
        <v/>
      </c>
      <c r="R142" s="1028"/>
      <c r="S142" s="1028"/>
      <c r="T142" s="1282"/>
      <c r="U142" s="1183" t="str">
        <f>IF(B140="","",Q19)</f>
        <v/>
      </c>
      <c r="V142" s="1184"/>
      <c r="W142" s="1185" t="str">
        <f t="shared" si="6"/>
        <v/>
      </c>
      <c r="X142" s="1186"/>
      <c r="Y142" s="1187"/>
      <c r="Z142" s="1323" t="str">
        <f>IF(W142="","",ROUND(SUMIF(F$134:H$142,W142,Q$134:T$142)/3,2))</f>
        <v/>
      </c>
      <c r="AA142" s="1324"/>
    </row>
    <row r="143" spans="2:27" s="172" customFormat="1" ht="17.25" customHeight="1" x14ac:dyDescent="0.15">
      <c r="B143" s="1482" t="str">
        <f>IF($U$129="非該当",DATE(YEAR($I$27)-4,MONTH($I$27),DAY($I$27)),"")</f>
        <v/>
      </c>
      <c r="C143" s="1483"/>
      <c r="D143" s="1484"/>
      <c r="E143" s="243"/>
      <c r="F143" s="1326" t="str">
        <f>IF(B143="","",IF(F126="","",F126))</f>
        <v/>
      </c>
      <c r="G143" s="1327"/>
      <c r="H143" s="1328"/>
      <c r="I143" s="738"/>
      <c r="J143" s="739"/>
      <c r="K143" s="739"/>
      <c r="L143" s="740"/>
      <c r="M143" s="738"/>
      <c r="N143" s="739"/>
      <c r="O143" s="739"/>
      <c r="P143" s="739"/>
      <c r="Q143" s="1027" t="str">
        <f t="shared" si="5"/>
        <v/>
      </c>
      <c r="R143" s="1028"/>
      <c r="S143" s="1028"/>
      <c r="T143" s="1282"/>
      <c r="U143" s="1202" t="str">
        <f>IF(B143="","",Q18)</f>
        <v/>
      </c>
      <c r="V143" s="1203"/>
      <c r="W143" s="1185" t="str">
        <f t="shared" si="6"/>
        <v/>
      </c>
      <c r="X143" s="1186"/>
      <c r="Y143" s="1187"/>
      <c r="Z143" s="1323" t="str">
        <f>IF(W143="","",ROUND(SUMIF(F$137:H$145,W143,Q$137:T$145)/3,2))</f>
        <v/>
      </c>
      <c r="AA143" s="1324"/>
    </row>
    <row r="144" spans="2:27" s="172" customFormat="1" ht="17.25" customHeight="1" x14ac:dyDescent="0.15">
      <c r="B144" s="1485"/>
      <c r="C144" s="1486"/>
      <c r="D144" s="1487"/>
      <c r="E144" s="244"/>
      <c r="F144" s="1326" t="str">
        <f>IF(B143="","",IF(F127="","",F127))</f>
        <v/>
      </c>
      <c r="G144" s="1327"/>
      <c r="H144" s="1328"/>
      <c r="I144" s="738"/>
      <c r="J144" s="739"/>
      <c r="K144" s="739"/>
      <c r="L144" s="740"/>
      <c r="M144" s="738"/>
      <c r="N144" s="739"/>
      <c r="O144" s="739"/>
      <c r="P144" s="739"/>
      <c r="Q144" s="1027" t="str">
        <f t="shared" si="5"/>
        <v/>
      </c>
      <c r="R144" s="1028"/>
      <c r="S144" s="1028"/>
      <c r="T144" s="1282"/>
      <c r="U144" s="1191" t="s">
        <v>77</v>
      </c>
      <c r="V144" s="1192"/>
      <c r="W144" s="1185" t="str">
        <f t="shared" si="6"/>
        <v/>
      </c>
      <c r="X144" s="1186"/>
      <c r="Y144" s="1187"/>
      <c r="Z144" s="1323" t="str">
        <f>IF(W144="","",ROUND(SUMIF(F$137:H$145,W144,Q$137:T$145)/3,2))</f>
        <v/>
      </c>
      <c r="AA144" s="1324"/>
    </row>
    <row r="145" spans="2:27" s="172" customFormat="1" ht="17.25" customHeight="1" x14ac:dyDescent="0.15">
      <c r="B145" s="1488"/>
      <c r="C145" s="1489"/>
      <c r="D145" s="1490"/>
      <c r="E145" s="245"/>
      <c r="F145" s="1326" t="str">
        <f>IF(B143="","",IF(F128="","",F128))</f>
        <v/>
      </c>
      <c r="G145" s="1327"/>
      <c r="H145" s="1328"/>
      <c r="I145" s="738"/>
      <c r="J145" s="739"/>
      <c r="K145" s="739"/>
      <c r="L145" s="740"/>
      <c r="M145" s="738"/>
      <c r="N145" s="739"/>
      <c r="O145" s="739"/>
      <c r="P145" s="739"/>
      <c r="Q145" s="1027" t="str">
        <f t="shared" si="5"/>
        <v/>
      </c>
      <c r="R145" s="1028"/>
      <c r="S145" s="1028"/>
      <c r="T145" s="1282"/>
      <c r="U145" s="1183" t="str">
        <f>IF(B143="","",Q20)</f>
        <v/>
      </c>
      <c r="V145" s="1184"/>
      <c r="W145" s="1185" t="str">
        <f t="shared" si="6"/>
        <v/>
      </c>
      <c r="X145" s="1186"/>
      <c r="Y145" s="1187"/>
      <c r="Z145" s="1323" t="str">
        <f>IF(W145="","",ROUND(SUMIF(F$137:H$145,W145,Q$137:T$145)/3,2))</f>
        <v/>
      </c>
      <c r="AA145" s="1324"/>
    </row>
    <row r="146" spans="2:27" ht="17.25" customHeight="1" x14ac:dyDescent="0.15">
      <c r="B146" s="246"/>
      <c r="C146" s="246"/>
      <c r="D146" s="246"/>
    </row>
    <row r="147" spans="2:27" ht="17.25" customHeight="1" x14ac:dyDescent="0.15">
      <c r="B147" s="171" t="s">
        <v>222</v>
      </c>
      <c r="AA147" s="212" t="str">
        <f>IF(G$23="","",G$23)</f>
        <v>株式会社参画企画</v>
      </c>
    </row>
    <row r="148" spans="2:27" ht="17.25" customHeight="1" x14ac:dyDescent="0.15"/>
    <row r="149" spans="2:27" ht="17.25" customHeight="1" x14ac:dyDescent="0.15">
      <c r="B149" s="171" t="s">
        <v>220</v>
      </c>
    </row>
    <row r="150" spans="2:27" ht="16.5" customHeight="1" x14ac:dyDescent="0.15">
      <c r="C150" s="1207" t="s">
        <v>240</v>
      </c>
      <c r="D150" s="1208"/>
      <c r="E150" s="1208"/>
      <c r="F150" s="1208"/>
      <c r="G150" s="1208"/>
      <c r="H150" s="1208"/>
      <c r="I150" s="1208"/>
      <c r="J150" s="1208"/>
      <c r="K150" s="1208"/>
      <c r="L150" s="1208"/>
      <c r="M150" s="1208"/>
      <c r="N150" s="1208"/>
      <c r="O150" s="1208"/>
      <c r="P150" s="1208"/>
      <c r="Q150" s="1208"/>
      <c r="R150" s="1208"/>
      <c r="S150" s="1208"/>
      <c r="T150" s="1208"/>
      <c r="U150" s="1208"/>
      <c r="V150" s="1208"/>
      <c r="W150" s="1208"/>
      <c r="X150" s="1208"/>
      <c r="Y150" s="1208"/>
      <c r="Z150" s="1208"/>
      <c r="AA150" s="1208"/>
    </row>
    <row r="151" spans="2:27" ht="17.25" customHeight="1" thickBot="1" x14ac:dyDescent="0.2">
      <c r="I151" s="1137" t="s">
        <v>40</v>
      </c>
      <c r="J151" s="1138"/>
      <c r="K151" s="1138"/>
      <c r="L151" s="1138"/>
      <c r="M151" s="1138"/>
      <c r="N151" s="1138"/>
      <c r="O151" s="1139"/>
      <c r="P151" s="1137" t="s">
        <v>41</v>
      </c>
      <c r="Q151" s="1138"/>
      <c r="R151" s="1138"/>
      <c r="S151" s="1138"/>
      <c r="T151" s="1138"/>
      <c r="U151" s="1138"/>
      <c r="V151" s="1139"/>
    </row>
    <row r="152" spans="2:27" s="172" customFormat="1" ht="47.25" customHeight="1" thickTop="1" x14ac:dyDescent="0.15">
      <c r="B152" s="1260" t="s">
        <v>0</v>
      </c>
      <c r="C152" s="1261"/>
      <c r="D152" s="1325"/>
      <c r="E152" s="233"/>
      <c r="F152" s="1254" t="s">
        <v>71</v>
      </c>
      <c r="G152" s="1261"/>
      <c r="H152" s="1325"/>
      <c r="I152" s="1254" t="s">
        <v>221</v>
      </c>
      <c r="J152" s="1261"/>
      <c r="K152" s="1254" t="str">
        <f>IF(F154="","うち直近事業年度で雇用されている者","うち"&amp;P16&amp;"事業年度で雇用されている者")</f>
        <v>うち2024事業年度で雇用されている者</v>
      </c>
      <c r="L152" s="1255"/>
      <c r="M152" s="1322"/>
      <c r="N152" s="1254" t="s">
        <v>183</v>
      </c>
      <c r="O152" s="1322"/>
      <c r="P152" s="1254" t="s">
        <v>221</v>
      </c>
      <c r="Q152" s="1261"/>
      <c r="R152" s="1254" t="str">
        <f>IF(F154="","うち直近事業年度で雇用されている者","うち"&amp;P16&amp;"事業年度で雇用されている者")</f>
        <v>うち2024事業年度で雇用されている者</v>
      </c>
      <c r="S152" s="1255"/>
      <c r="T152" s="1322"/>
      <c r="U152" s="1254" t="s">
        <v>184</v>
      </c>
      <c r="V152" s="1255"/>
      <c r="W152" s="1085" t="s">
        <v>14</v>
      </c>
      <c r="X152" s="1089"/>
      <c r="Y152" s="1089"/>
      <c r="Z152" s="1105" t="s">
        <v>179</v>
      </c>
      <c r="AA152" s="1106"/>
    </row>
    <row r="153" spans="2:27" s="172" customFormat="1" ht="17.25" customHeight="1" x14ac:dyDescent="0.15">
      <c r="B153" s="612" t="s">
        <v>279</v>
      </c>
      <c r="C153" s="613"/>
      <c r="D153" s="614"/>
      <c r="E153" s="228" t="str">
        <f>IF(B153="","",B153&amp;F153)</f>
        <v>なし42278</v>
      </c>
      <c r="F153" s="1464">
        <f>IF($B153="","",DATE(YEAR($I$27)-9,MONTH($I$27),DAY($I$27)))</f>
        <v>42278</v>
      </c>
      <c r="G153" s="1465"/>
      <c r="H153" s="1466"/>
      <c r="I153" s="463">
        <v>1</v>
      </c>
      <c r="J153" s="464"/>
      <c r="K153" s="463">
        <v>1</v>
      </c>
      <c r="L153" s="593"/>
      <c r="M153" s="464"/>
      <c r="N153" s="707">
        <f>IF(B153="","",IF(I156&lt;=0,"－",ROUND(K156/I156,3)))</f>
        <v>1</v>
      </c>
      <c r="O153" s="708"/>
      <c r="P153" s="463">
        <v>0</v>
      </c>
      <c r="Q153" s="464"/>
      <c r="R153" s="463">
        <v>0</v>
      </c>
      <c r="S153" s="593"/>
      <c r="T153" s="464"/>
      <c r="U153" s="707">
        <f>IF(B153="","",IF(P156&lt;=0,"－",ROUND(R156/P156,3)))</f>
        <v>0</v>
      </c>
      <c r="V153" s="711"/>
      <c r="W153" s="1309" t="s">
        <v>170</v>
      </c>
      <c r="X153" s="1310"/>
      <c r="Y153" s="1310"/>
      <c r="Z153" s="1303" t="str">
        <f>IF(B153="","",IF(W154="－","算出不能",IF(AND(N153&gt;0,U153&gt;0,W154&gt;=0.8),"Ｃ≧0.8",IF(AND(N153&gt;0,U153&gt;0,W154&lt;0.8),"Ｃ＜0.8"))))</f>
        <v>算出不能</v>
      </c>
      <c r="AA153" s="1304"/>
    </row>
    <row r="154" spans="2:27" s="172" customFormat="1" ht="17.25" customHeight="1" x14ac:dyDescent="0.15">
      <c r="B154" s="615"/>
      <c r="C154" s="1240"/>
      <c r="D154" s="617"/>
      <c r="E154" s="228" t="str">
        <f>IF(B153="","",B153&amp;F154)</f>
        <v>なし41913</v>
      </c>
      <c r="F154" s="1464">
        <f>IF($B153="","",DATE(YEAR($I$27)-10,MONTH($I$27),DAY($I$27)))</f>
        <v>41913</v>
      </c>
      <c r="G154" s="1465"/>
      <c r="H154" s="1466"/>
      <c r="I154" s="463">
        <v>0</v>
      </c>
      <c r="J154" s="464"/>
      <c r="K154" s="463">
        <v>0</v>
      </c>
      <c r="L154" s="593"/>
      <c r="M154" s="464"/>
      <c r="N154" s="304"/>
      <c r="O154" s="305"/>
      <c r="P154" s="463">
        <v>0</v>
      </c>
      <c r="Q154" s="464"/>
      <c r="R154" s="463">
        <v>0</v>
      </c>
      <c r="S154" s="593"/>
      <c r="T154" s="464"/>
      <c r="U154" s="304"/>
      <c r="V154" s="712"/>
      <c r="W154" s="1048" t="str">
        <f>IF(B153="","",IF(OR(N153="－",U153="－",U153=0),"－",ROUND(N153/U153,2)))</f>
        <v>－</v>
      </c>
      <c r="X154" s="1049"/>
      <c r="Y154" s="1049"/>
      <c r="Z154" s="1305"/>
      <c r="AA154" s="1306"/>
    </row>
    <row r="155" spans="2:27" s="172" customFormat="1" ht="17.25" customHeight="1" x14ac:dyDescent="0.15">
      <c r="B155" s="615"/>
      <c r="C155" s="1240"/>
      <c r="D155" s="617"/>
      <c r="E155" s="228" t="str">
        <f>IF(B153="","",B153&amp;F155)</f>
        <v>なし41548</v>
      </c>
      <c r="F155" s="1464">
        <f>IF($B153="","",DATE(YEAR($I$27)-11,MONTH($I$27),DAY($I$27)))</f>
        <v>41548</v>
      </c>
      <c r="G155" s="1465"/>
      <c r="H155" s="1466"/>
      <c r="I155" s="463">
        <v>0</v>
      </c>
      <c r="J155" s="464"/>
      <c r="K155" s="463">
        <v>0</v>
      </c>
      <c r="L155" s="593"/>
      <c r="M155" s="464"/>
      <c r="N155" s="304"/>
      <c r="O155" s="305"/>
      <c r="P155" s="463">
        <v>1</v>
      </c>
      <c r="Q155" s="464"/>
      <c r="R155" s="463">
        <v>0</v>
      </c>
      <c r="S155" s="593"/>
      <c r="T155" s="464"/>
      <c r="U155" s="304"/>
      <c r="V155" s="712"/>
      <c r="W155" s="1048"/>
      <c r="X155" s="1049"/>
      <c r="Y155" s="1049"/>
      <c r="Z155" s="1305"/>
      <c r="AA155" s="1306"/>
    </row>
    <row r="156" spans="2:27" s="172" customFormat="1" ht="17.25" customHeight="1" x14ac:dyDescent="0.15">
      <c r="B156" s="618"/>
      <c r="C156" s="619"/>
      <c r="D156" s="620"/>
      <c r="E156" s="179"/>
      <c r="F156" s="1311" t="s">
        <v>15</v>
      </c>
      <c r="G156" s="1312"/>
      <c r="H156" s="1313"/>
      <c r="I156" s="1314">
        <f>IF($B$153="","",SUM(I153:J155))</f>
        <v>1</v>
      </c>
      <c r="J156" s="1315"/>
      <c r="K156" s="1314">
        <f>IF($B$153="","",SUM(K153:M155))</f>
        <v>1</v>
      </c>
      <c r="L156" s="1316"/>
      <c r="M156" s="1315"/>
      <c r="N156" s="709"/>
      <c r="O156" s="710"/>
      <c r="P156" s="1314">
        <f>IF($B$153="","",SUM(P153:Q155))</f>
        <v>1</v>
      </c>
      <c r="Q156" s="1315"/>
      <c r="R156" s="1314">
        <f>IF($B$153="","",SUM(R153:T155))</f>
        <v>0</v>
      </c>
      <c r="S156" s="1316"/>
      <c r="T156" s="1315"/>
      <c r="U156" s="709"/>
      <c r="V156" s="713"/>
      <c r="W156" s="1307"/>
      <c r="X156" s="1308"/>
      <c r="Y156" s="1308"/>
      <c r="Z156" s="1320"/>
      <c r="AA156" s="1321"/>
    </row>
    <row r="157" spans="2:27" s="172" customFormat="1" ht="17.25" customHeight="1" x14ac:dyDescent="0.15">
      <c r="B157" s="612" t="str">
        <f>IF(B58="","",B58)</f>
        <v/>
      </c>
      <c r="C157" s="613"/>
      <c r="D157" s="614"/>
      <c r="E157" s="228" t="str">
        <f>IF(B157="","",B157&amp;F157)</f>
        <v/>
      </c>
      <c r="F157" s="1464" t="str">
        <f>IF($B157="","",DATE(YEAR($I$27)-9,MONTH($I$27),DAY($I$27)))</f>
        <v/>
      </c>
      <c r="G157" s="1465"/>
      <c r="H157" s="1466"/>
      <c r="I157" s="704"/>
      <c r="J157" s="705"/>
      <c r="K157" s="704"/>
      <c r="L157" s="706"/>
      <c r="M157" s="705"/>
      <c r="N157" s="707" t="str">
        <f t="shared" ref="N157" si="7">IF(B157="","",IF(I160&lt;=0,"－",ROUND(K160/I160,3)))</f>
        <v/>
      </c>
      <c r="O157" s="708"/>
      <c r="P157" s="704"/>
      <c r="Q157" s="705"/>
      <c r="R157" s="704"/>
      <c r="S157" s="706"/>
      <c r="T157" s="705"/>
      <c r="U157" s="707" t="str">
        <f t="shared" ref="U157" si="8">IF(B157="","",IF(P160&lt;=0,"－",ROUND(R160/P160,3)))</f>
        <v/>
      </c>
      <c r="V157" s="711"/>
      <c r="W157" s="1309" t="s">
        <v>170</v>
      </c>
      <c r="X157" s="1310"/>
      <c r="Y157" s="1310"/>
      <c r="Z157" s="1303" t="str">
        <f>IF(B157="","",IF(W158="－","算出不能",IF(AND(N157&gt;0,U157&gt;0,W158&gt;=0.8),"Ｃ≧0.8",IF(AND(N157&gt;0,U157&gt;0,W158&lt;0.8),"Ｃ＜0.8"))))</f>
        <v/>
      </c>
      <c r="AA157" s="1304"/>
    </row>
    <row r="158" spans="2:27" s="172" customFormat="1" ht="17.25" customHeight="1" x14ac:dyDescent="0.15">
      <c r="B158" s="615"/>
      <c r="C158" s="1240"/>
      <c r="D158" s="617"/>
      <c r="E158" s="228" t="str">
        <f>IF(B157="","",B157&amp;F158)</f>
        <v/>
      </c>
      <c r="F158" s="1464" t="str">
        <f>IF($B157="","",DATE(YEAR($I$27)-10,MONTH($I$27),DAY($I$27)))</f>
        <v/>
      </c>
      <c r="G158" s="1465"/>
      <c r="H158" s="1466"/>
      <c r="I158" s="463"/>
      <c r="J158" s="464"/>
      <c r="K158" s="463"/>
      <c r="L158" s="593"/>
      <c r="M158" s="464"/>
      <c r="N158" s="304"/>
      <c r="O158" s="305"/>
      <c r="P158" s="463"/>
      <c r="Q158" s="464"/>
      <c r="R158" s="463"/>
      <c r="S158" s="593"/>
      <c r="T158" s="464"/>
      <c r="U158" s="304"/>
      <c r="V158" s="712"/>
      <c r="W158" s="1048" t="str">
        <f>IF(B157="","",IF(OR(N157="－",U157="－",U157=0),"－",ROUND(N157/U157,2)))</f>
        <v/>
      </c>
      <c r="X158" s="1049"/>
      <c r="Y158" s="1049"/>
      <c r="Z158" s="1305"/>
      <c r="AA158" s="1306"/>
    </row>
    <row r="159" spans="2:27" s="172" customFormat="1" ht="17.25" customHeight="1" x14ac:dyDescent="0.15">
      <c r="B159" s="615"/>
      <c r="C159" s="1240"/>
      <c r="D159" s="617"/>
      <c r="E159" s="228" t="str">
        <f>IF(B157="","",B157&amp;F159)</f>
        <v/>
      </c>
      <c r="F159" s="1464" t="str">
        <f>IF($B157="","",DATE(YEAR($I$27)-11,MONTH($I$27),DAY($I$27)))</f>
        <v/>
      </c>
      <c r="G159" s="1465"/>
      <c r="H159" s="1466"/>
      <c r="I159" s="463"/>
      <c r="J159" s="464"/>
      <c r="K159" s="463"/>
      <c r="L159" s="593"/>
      <c r="M159" s="464"/>
      <c r="N159" s="304"/>
      <c r="O159" s="305"/>
      <c r="P159" s="463"/>
      <c r="Q159" s="464"/>
      <c r="R159" s="463"/>
      <c r="S159" s="593"/>
      <c r="T159" s="464"/>
      <c r="U159" s="304"/>
      <c r="V159" s="712"/>
      <c r="W159" s="1048"/>
      <c r="X159" s="1049"/>
      <c r="Y159" s="1049"/>
      <c r="Z159" s="1305"/>
      <c r="AA159" s="1306"/>
    </row>
    <row r="160" spans="2:27" s="172" customFormat="1" ht="17.25" customHeight="1" x14ac:dyDescent="0.15">
      <c r="B160" s="618"/>
      <c r="C160" s="619"/>
      <c r="D160" s="620"/>
      <c r="E160" s="179"/>
      <c r="F160" s="1311" t="s">
        <v>15</v>
      </c>
      <c r="G160" s="1312"/>
      <c r="H160" s="1313"/>
      <c r="I160" s="1314" t="str">
        <f>IF($B$157="","",SUM(I157:J159))</f>
        <v/>
      </c>
      <c r="J160" s="1315"/>
      <c r="K160" s="1314" t="str">
        <f>IF($B$157="","",SUM(K157:M159))</f>
        <v/>
      </c>
      <c r="L160" s="1316"/>
      <c r="M160" s="1315"/>
      <c r="N160" s="709"/>
      <c r="O160" s="710"/>
      <c r="P160" s="1314" t="str">
        <f>IF($B$157="","",SUM(P157:Q159))</f>
        <v/>
      </c>
      <c r="Q160" s="1315"/>
      <c r="R160" s="1317" t="str">
        <f>IF($B$157="","",SUM(R157:T159))</f>
        <v/>
      </c>
      <c r="S160" s="1318"/>
      <c r="T160" s="1319"/>
      <c r="U160" s="709"/>
      <c r="V160" s="713"/>
      <c r="W160" s="1307"/>
      <c r="X160" s="1308"/>
      <c r="Y160" s="1308"/>
      <c r="Z160" s="1320"/>
      <c r="AA160" s="1321"/>
    </row>
    <row r="161" spans="1:28" s="172" customFormat="1" ht="17.25" customHeight="1" x14ac:dyDescent="0.15">
      <c r="B161" s="612" t="str">
        <f>IF(B61="","",B61)</f>
        <v/>
      </c>
      <c r="C161" s="613"/>
      <c r="D161" s="614"/>
      <c r="E161" s="228" t="str">
        <f>IF(B161="","",B161&amp;F161)</f>
        <v/>
      </c>
      <c r="F161" s="1464" t="str">
        <f>IF($B161="","",DATE(YEAR($I$27)-9,MONTH($I$27),DAY($I$27)))</f>
        <v/>
      </c>
      <c r="G161" s="1465"/>
      <c r="H161" s="1466"/>
      <c r="I161" s="704"/>
      <c r="J161" s="705"/>
      <c r="K161" s="704"/>
      <c r="L161" s="706"/>
      <c r="M161" s="705"/>
      <c r="N161" s="707" t="str">
        <f t="shared" ref="N161" si="9">IF(B161="","",IF(I164&lt;=0,"－",ROUND(K164/I164,3)))</f>
        <v/>
      </c>
      <c r="O161" s="708"/>
      <c r="P161" s="704"/>
      <c r="Q161" s="705"/>
      <c r="R161" s="704"/>
      <c r="S161" s="706"/>
      <c r="T161" s="705"/>
      <c r="U161" s="707" t="str">
        <f t="shared" ref="U161" si="10">IF(B161="","",IF(P164&lt;=0,"－",ROUND(R164/P164,3)))</f>
        <v/>
      </c>
      <c r="V161" s="711"/>
      <c r="W161" s="1309" t="s">
        <v>170</v>
      </c>
      <c r="X161" s="1310"/>
      <c r="Y161" s="1310"/>
      <c r="Z161" s="1303" t="str">
        <f>IF(B161="","",IF(W162="－","算出不能",IF(AND(N161&gt;0,U161&gt;0,W162&gt;=0.8),"Ｃ≧0.8",IF(AND(N161&gt;0,U161&gt;0,W162&lt;0.8),"Ｃ＜0.8"))))</f>
        <v/>
      </c>
      <c r="AA161" s="1304"/>
    </row>
    <row r="162" spans="1:28" s="172" customFormat="1" ht="17.25" customHeight="1" x14ac:dyDescent="0.15">
      <c r="B162" s="615"/>
      <c r="C162" s="1240"/>
      <c r="D162" s="617"/>
      <c r="E162" s="228" t="str">
        <f>IF(B161="","",B161&amp;F162)</f>
        <v/>
      </c>
      <c r="F162" s="1464" t="str">
        <f>IF($B161="","",DATE(YEAR($I$27)-10,MONTH($I$27),DAY($I$27)))</f>
        <v/>
      </c>
      <c r="G162" s="1465"/>
      <c r="H162" s="1466"/>
      <c r="I162" s="463"/>
      <c r="J162" s="464"/>
      <c r="K162" s="463"/>
      <c r="L162" s="593"/>
      <c r="M162" s="464"/>
      <c r="N162" s="304"/>
      <c r="O162" s="305"/>
      <c r="P162" s="463"/>
      <c r="Q162" s="464"/>
      <c r="R162" s="463"/>
      <c r="S162" s="593"/>
      <c r="T162" s="464"/>
      <c r="U162" s="304"/>
      <c r="V162" s="712"/>
      <c r="W162" s="1048" t="str">
        <f>IF(B161="","",IF(OR(N161="－",U161="－",U161=0),"－",ROUND(N161/U161,2)))</f>
        <v/>
      </c>
      <c r="X162" s="1049"/>
      <c r="Y162" s="1049"/>
      <c r="Z162" s="1305"/>
      <c r="AA162" s="1306"/>
    </row>
    <row r="163" spans="1:28" s="172" customFormat="1" ht="17.25" customHeight="1" x14ac:dyDescent="0.15">
      <c r="B163" s="615"/>
      <c r="C163" s="1240"/>
      <c r="D163" s="617"/>
      <c r="E163" s="228" t="str">
        <f>IF(B161="","",B161&amp;F163)</f>
        <v/>
      </c>
      <c r="F163" s="1464" t="str">
        <f>IF($B161="","",DATE(YEAR($I$27)-11,MONTH($I$27),DAY($I$27)))</f>
        <v/>
      </c>
      <c r="G163" s="1465"/>
      <c r="H163" s="1466"/>
      <c r="I163" s="463"/>
      <c r="J163" s="464"/>
      <c r="K163" s="463"/>
      <c r="L163" s="593"/>
      <c r="M163" s="464"/>
      <c r="N163" s="304"/>
      <c r="O163" s="305"/>
      <c r="P163" s="463"/>
      <c r="Q163" s="464"/>
      <c r="R163" s="463"/>
      <c r="S163" s="593"/>
      <c r="T163" s="464"/>
      <c r="U163" s="304"/>
      <c r="V163" s="712"/>
      <c r="W163" s="1048"/>
      <c r="X163" s="1049"/>
      <c r="Y163" s="1049"/>
      <c r="Z163" s="1305"/>
      <c r="AA163" s="1306"/>
    </row>
    <row r="164" spans="1:28" s="172" customFormat="1" ht="17.25" customHeight="1" thickBot="1" x14ac:dyDescent="0.2">
      <c r="B164" s="618"/>
      <c r="C164" s="619"/>
      <c r="D164" s="620"/>
      <c r="E164" s="179"/>
      <c r="F164" s="1295" t="s">
        <v>15</v>
      </c>
      <c r="G164" s="1296"/>
      <c r="H164" s="1297"/>
      <c r="I164" s="1298" t="str">
        <f>IF($B$161="","",SUM(I161:J163))</f>
        <v/>
      </c>
      <c r="J164" s="1299"/>
      <c r="K164" s="1300" t="str">
        <f>IF($B$161="","",SUM(K161:M163))</f>
        <v/>
      </c>
      <c r="L164" s="1301"/>
      <c r="M164" s="1302"/>
      <c r="N164" s="304"/>
      <c r="O164" s="305"/>
      <c r="P164" s="1298" t="str">
        <f>IF($B$161="","",SUM(P161:Q163))</f>
        <v/>
      </c>
      <c r="Q164" s="1299"/>
      <c r="R164" s="1300" t="str">
        <f>IF($B$161="","",SUM(R161:T163))</f>
        <v/>
      </c>
      <c r="S164" s="1301"/>
      <c r="T164" s="1302"/>
      <c r="U164" s="304"/>
      <c r="V164" s="712"/>
      <c r="W164" s="1285"/>
      <c r="X164" s="1286"/>
      <c r="Y164" s="1286"/>
      <c r="Z164" s="1305"/>
      <c r="AA164" s="1306"/>
    </row>
    <row r="165" spans="1:28" s="172" customFormat="1" ht="27.75" customHeight="1" thickTop="1" thickBot="1" x14ac:dyDescent="0.2">
      <c r="A165" s="247"/>
      <c r="C165" s="242"/>
      <c r="D165" s="242"/>
      <c r="E165" s="242"/>
      <c r="F165" s="1287" t="s">
        <v>196</v>
      </c>
      <c r="G165" s="1288"/>
      <c r="H165" s="1288"/>
      <c r="I165" s="1288"/>
      <c r="J165" s="1288"/>
      <c r="K165" s="1288"/>
      <c r="L165" s="1288"/>
      <c r="M165" s="1288"/>
      <c r="N165" s="1288"/>
      <c r="O165" s="1288"/>
      <c r="P165" s="1288"/>
      <c r="Q165" s="1288"/>
      <c r="R165" s="1288"/>
      <c r="S165" s="1288"/>
      <c r="T165" s="1288"/>
      <c r="U165" s="1288"/>
      <c r="V165" s="1288"/>
      <c r="W165" s="690" t="s">
        <v>267</v>
      </c>
      <c r="X165" s="690"/>
      <c r="Y165" s="690"/>
      <c r="Z165" s="690"/>
      <c r="AA165" s="691"/>
      <c r="AB165" s="247"/>
    </row>
    <row r="166" spans="1:28" s="172" customFormat="1" ht="17.25" customHeight="1" thickTop="1" x14ac:dyDescent="0.15">
      <c r="A166" s="247"/>
      <c r="B166" s="247"/>
      <c r="C166" s="247"/>
      <c r="D166" s="247"/>
      <c r="E166" s="247"/>
      <c r="F166" s="247"/>
      <c r="G166" s="247"/>
      <c r="H166" s="247"/>
      <c r="I166" s="247"/>
      <c r="J166" s="247"/>
      <c r="K166" s="247"/>
      <c r="L166" s="247"/>
      <c r="M166" s="247"/>
      <c r="N166" s="247"/>
      <c r="O166" s="247"/>
      <c r="P166" s="247"/>
      <c r="Q166" s="247"/>
      <c r="R166" s="247"/>
      <c r="S166" s="247"/>
      <c r="T166" s="247"/>
      <c r="U166" s="247"/>
      <c r="AA166" s="165" t="str">
        <f>IF(G23="","",IF(W165="","リストから選択↑　",""))</f>
        <v/>
      </c>
      <c r="AB166" s="247"/>
    </row>
    <row r="167" spans="1:28" ht="17.25" customHeight="1" x14ac:dyDescent="0.15">
      <c r="B167" s="172" t="s">
        <v>212</v>
      </c>
    </row>
    <row r="168" spans="1:28" ht="27.75" customHeight="1" x14ac:dyDescent="0.15">
      <c r="C168" s="1078" t="s">
        <v>244</v>
      </c>
      <c r="D168" s="1078"/>
      <c r="E168" s="1078"/>
      <c r="F168" s="1078"/>
      <c r="G168" s="1078"/>
      <c r="H168" s="1078"/>
      <c r="I168" s="1078"/>
      <c r="J168" s="1078"/>
      <c r="K168" s="1078"/>
      <c r="L168" s="1078"/>
      <c r="M168" s="1078"/>
      <c r="N168" s="1078"/>
      <c r="O168" s="1078"/>
      <c r="P168" s="1078"/>
      <c r="Q168" s="1078"/>
      <c r="R168" s="1078"/>
      <c r="S168" s="1078"/>
      <c r="T168" s="1078"/>
      <c r="U168" s="1078"/>
      <c r="V168" s="1078"/>
      <c r="W168" s="1078"/>
      <c r="X168" s="1078"/>
      <c r="Y168" s="1078"/>
      <c r="Z168" s="1078"/>
      <c r="AA168" s="1078"/>
    </row>
    <row r="169" spans="1:28" s="172" customFormat="1" ht="17.25" customHeight="1" x14ac:dyDescent="0.15">
      <c r="B169" s="1289" t="s">
        <v>0</v>
      </c>
      <c r="C169" s="1290"/>
      <c r="D169" s="1291"/>
      <c r="E169" s="233"/>
      <c r="F169" s="1292" t="s">
        <v>213</v>
      </c>
      <c r="G169" s="1293"/>
      <c r="H169" s="1293"/>
      <c r="I169" s="1293"/>
      <c r="J169" s="1293"/>
      <c r="K169" s="1293"/>
      <c r="L169" s="1293"/>
      <c r="M169" s="1293"/>
      <c r="N169" s="1293"/>
      <c r="O169" s="1293"/>
      <c r="P169" s="1293"/>
      <c r="Q169" s="1293"/>
      <c r="R169" s="1293"/>
      <c r="S169" s="1293"/>
      <c r="T169" s="1293"/>
      <c r="U169" s="1293"/>
      <c r="V169" s="1293"/>
      <c r="W169" s="1293"/>
      <c r="X169" s="1293"/>
      <c r="Y169" s="1292" t="s">
        <v>231</v>
      </c>
      <c r="Z169" s="1293"/>
      <c r="AA169" s="1294"/>
    </row>
    <row r="170" spans="1:28" s="172" customFormat="1" ht="17.25" customHeight="1" x14ac:dyDescent="0.15">
      <c r="B170" s="553" t="s">
        <v>279</v>
      </c>
      <c r="C170" s="554"/>
      <c r="D170" s="555"/>
      <c r="E170" s="227" t="str">
        <f>IF(B170="","",B170&amp;F$154)</f>
        <v>なし41913</v>
      </c>
      <c r="F170" s="1281" t="str">
        <f>IF(B170=""," 9～11年前採用者の10年後継続雇用割合の男女比　　　　　　　　　 上記ア","〔"&amp;S15&amp;"～"&amp;T17&amp;"採用者〕の"&amp;O16&amp;"における継続雇用割合の男女比（上記ア）")</f>
        <v>〔2015～2013年採用者〕の2024年における継続雇用割合の男女比（上記ア）</v>
      </c>
      <c r="G170" s="1270"/>
      <c r="H170" s="1270"/>
      <c r="I170" s="1270"/>
      <c r="J170" s="1270"/>
      <c r="K170" s="1270"/>
      <c r="L170" s="1270"/>
      <c r="M170" s="1270"/>
      <c r="N170" s="1270"/>
      <c r="O170" s="1270"/>
      <c r="P170" s="1270"/>
      <c r="Q170" s="1270"/>
      <c r="R170" s="1270"/>
      <c r="S170" s="1270"/>
      <c r="T170" s="1270"/>
      <c r="U170" s="1270"/>
      <c r="V170" s="1270"/>
      <c r="W170" s="1270"/>
      <c r="X170" s="1271"/>
      <c r="Y170" s="1027" t="str">
        <f>IF(B170="","",VLOOKUP(E170,E$153:Y$164,19,FALSE))</f>
        <v>－</v>
      </c>
      <c r="Z170" s="1028"/>
      <c r="AA170" s="1282"/>
    </row>
    <row r="171" spans="1:28" s="172" customFormat="1" ht="17.25" customHeight="1" x14ac:dyDescent="0.15">
      <c r="B171" s="564"/>
      <c r="C171" s="1068"/>
      <c r="D171" s="565"/>
      <c r="E171" s="228" t="str">
        <f>IF(B170="","",B170&amp;DATE(YEAR($I$27)-11,MONTH($I$27),DAY($I$27))&amp;"その2")</f>
        <v>なし41548その2</v>
      </c>
      <c r="F171" s="1281" t="str">
        <f>IF(B170="","10～12年前採用者の　　　　　　〃　　　　　　（アの1年ずつ前）　別紙イ","〔"&amp;S16&amp;"～"&amp;T18&amp;"採用者〕の"&amp;O17&amp;"における　　　　　〃　　　　　別紙イ")</f>
        <v>〔2014～2012年採用者〕の2023年における　　　　　〃　　　　　別紙イ</v>
      </c>
      <c r="G171" s="1270"/>
      <c r="H171" s="1270"/>
      <c r="I171" s="1270"/>
      <c r="J171" s="1270"/>
      <c r="K171" s="1270"/>
      <c r="L171" s="1270"/>
      <c r="M171" s="1270"/>
      <c r="N171" s="1270"/>
      <c r="O171" s="1270"/>
      <c r="P171" s="1270"/>
      <c r="Q171" s="1270"/>
      <c r="R171" s="1270"/>
      <c r="S171" s="1270"/>
      <c r="T171" s="1270"/>
      <c r="U171" s="1270"/>
      <c r="V171" s="1270"/>
      <c r="W171" s="1270"/>
      <c r="X171" s="1271"/>
      <c r="Y171" s="1027" t="str">
        <f>IF(B170="","",VLOOKUP(E171,$E$347:$AA$420,21,FALSE))</f>
        <v>－</v>
      </c>
      <c r="Z171" s="1028"/>
      <c r="AA171" s="1282"/>
    </row>
    <row r="172" spans="1:28" s="172" customFormat="1" ht="17.25" customHeight="1" x14ac:dyDescent="0.15">
      <c r="B172" s="564"/>
      <c r="C172" s="1068"/>
      <c r="D172" s="565"/>
      <c r="E172" s="228" t="str">
        <f>IF(B170="","",B170&amp;DATE(YEAR($I$27)-12,MONTH($I$27),DAY($I$27)))</f>
        <v>なし41183</v>
      </c>
      <c r="F172" s="1281" t="str">
        <f>IF(B170="","11～13年前採用者の　　　　　　〃　　　　　　（アの2年ずつ前）　別紙ウ","〔"&amp;S17&amp;"～"&amp;T19&amp;"採用者〕の"&amp;O18&amp;"における　　　　　〃　　　　　別紙ウ")</f>
        <v>〔2013～2011年採用者〕の2022年における　　　　　〃　　　　　別紙ウ</v>
      </c>
      <c r="G172" s="1270"/>
      <c r="H172" s="1270"/>
      <c r="I172" s="1270"/>
      <c r="J172" s="1270"/>
      <c r="K172" s="1270"/>
      <c r="L172" s="1270"/>
      <c r="M172" s="1270"/>
      <c r="N172" s="1270"/>
      <c r="O172" s="1270"/>
      <c r="P172" s="1270"/>
      <c r="Q172" s="1270"/>
      <c r="R172" s="1270"/>
      <c r="S172" s="1270"/>
      <c r="T172" s="1270"/>
      <c r="U172" s="1270"/>
      <c r="V172" s="1270"/>
      <c r="W172" s="1270"/>
      <c r="X172" s="1271"/>
      <c r="Y172" s="1027" t="str">
        <f>IF(B170="","",VLOOKUP(E172,$E$347:$AA$420,21,FALSE))</f>
        <v>－</v>
      </c>
      <c r="Z172" s="1028"/>
      <c r="AA172" s="1282"/>
    </row>
    <row r="173" spans="1:28" s="172" customFormat="1" ht="17.25" customHeight="1" x14ac:dyDescent="0.15">
      <c r="B173" s="564"/>
      <c r="C173" s="1068"/>
      <c r="D173" s="565"/>
      <c r="E173" s="228" t="str">
        <f>IF(B170="","",B170&amp;DATE(YEAR($I$27)-13,MONTH($I$27),DAY($I$27)))</f>
        <v>なし40817</v>
      </c>
      <c r="F173" s="1281" t="str">
        <f>IF(B170="","12～14年前採用者の　　　　　　〃　　　　　　（アの3年ずつ前）　別紙エ","〔"&amp;S18&amp;"～"&amp;T20&amp;"採用者〕の"&amp;O19&amp;"における　　　　　〃　　　　　別紙エ")</f>
        <v>〔2012～2010年採用者〕の2021年における　　　　　〃　　　　　別紙エ</v>
      </c>
      <c r="G173" s="1270"/>
      <c r="H173" s="1270"/>
      <c r="I173" s="1270"/>
      <c r="J173" s="1270"/>
      <c r="K173" s="1270"/>
      <c r="L173" s="1270"/>
      <c r="M173" s="1270"/>
      <c r="N173" s="1270"/>
      <c r="O173" s="1270"/>
      <c r="P173" s="1270"/>
      <c r="Q173" s="1270"/>
      <c r="R173" s="1270"/>
      <c r="S173" s="1270"/>
      <c r="T173" s="1270"/>
      <c r="U173" s="1270"/>
      <c r="V173" s="1270"/>
      <c r="W173" s="1270"/>
      <c r="X173" s="1271"/>
      <c r="Y173" s="1027">
        <f>IF(B170="","",VLOOKUP(E173,$E$347:$AA$420,21,FALSE))</f>
        <v>2</v>
      </c>
      <c r="Z173" s="1028"/>
      <c r="AA173" s="1282"/>
    </row>
    <row r="174" spans="1:28" s="172" customFormat="1" ht="17.25" customHeight="1" thickBot="1" x14ac:dyDescent="0.2">
      <c r="B174" s="564"/>
      <c r="C174" s="1068"/>
      <c r="D174" s="565"/>
      <c r="E174" s="228" t="str">
        <f>IF(B170="","",B170&amp;DATE(YEAR($I$27)-14,MONTH($I$27),DAY($I$27)))</f>
        <v>なし40452</v>
      </c>
      <c r="F174" s="1281" t="str">
        <f>IF(B170="","13～15年前採用者の　　　　　　〃　　　　　　（アの4年ずつ前）　別紙オ","〔"&amp;S19&amp;"～"&amp;T21&amp;"採用者〕の"&amp;O20&amp;"における　　　　　〃　　　　　別紙オ")</f>
        <v>〔2011～2009年採用者〕の2020年における　　　　　〃　　　　　別紙オ</v>
      </c>
      <c r="G174" s="1270"/>
      <c r="H174" s="1270"/>
      <c r="I174" s="1283"/>
      <c r="J174" s="1283"/>
      <c r="K174" s="1283"/>
      <c r="L174" s="1283"/>
      <c r="M174" s="1283"/>
      <c r="N174" s="1283"/>
      <c r="O174" s="1283"/>
      <c r="P174" s="1283"/>
      <c r="Q174" s="1283"/>
      <c r="R174" s="1283"/>
      <c r="S174" s="1283"/>
      <c r="T174" s="1283"/>
      <c r="U174" s="1283"/>
      <c r="V174" s="1283"/>
      <c r="W174" s="1283"/>
      <c r="X174" s="1284"/>
      <c r="Y174" s="1257" t="str">
        <f>IF(B170="","",VLOOKUP(E174,$E$347:$AA$420,21,FALSE))</f>
        <v>－</v>
      </c>
      <c r="Z174" s="1258"/>
      <c r="AA174" s="1259"/>
    </row>
    <row r="175" spans="1:28" s="172" customFormat="1" ht="17.25" customHeight="1" x14ac:dyDescent="0.15">
      <c r="B175" s="564"/>
      <c r="C175" s="1068"/>
      <c r="D175" s="565"/>
      <c r="E175" s="248" t="str">
        <f>B170&amp;1</f>
        <v>なし1</v>
      </c>
      <c r="F175" s="1260"/>
      <c r="G175" s="1261"/>
      <c r="H175" s="1261"/>
      <c r="I175" s="1266" t="str">
        <f>IF(B170=""," 9～13年前採用者の３事業年度ごとの平均（ア～ウの平均）","〔"&amp;S15&amp;"～"&amp;T19&amp;"採用者〕の３事業年度ごとの平均（ア～ウの平均）")</f>
        <v>〔2015～2011年採用者〕の３事業年度ごとの平均（ア～ウの平均）</v>
      </c>
      <c r="J175" s="1267"/>
      <c r="K175" s="1267"/>
      <c r="L175" s="1267"/>
      <c r="M175" s="1267"/>
      <c r="N175" s="1267"/>
      <c r="O175" s="1267"/>
      <c r="P175" s="1267"/>
      <c r="Q175" s="1267"/>
      <c r="R175" s="1267"/>
      <c r="S175" s="1267"/>
      <c r="T175" s="1267"/>
      <c r="U175" s="1267"/>
      <c r="V175" s="1267"/>
      <c r="W175" s="1267"/>
      <c r="X175" s="1268"/>
      <c r="Y175" s="1024" t="str">
        <f>IF(B170="","",VLOOKUP(E175,$E$347:$AA$420,21,FALSE))</f>
        <v>算出不能</v>
      </c>
      <c r="Z175" s="1025"/>
      <c r="AA175" s="1026"/>
    </row>
    <row r="176" spans="1:28" s="172" customFormat="1" ht="17.25" customHeight="1" x14ac:dyDescent="0.15">
      <c r="B176" s="564"/>
      <c r="C176" s="1068"/>
      <c r="D176" s="565"/>
      <c r="E176" s="248" t="str">
        <f>B170&amp;2</f>
        <v>なし2</v>
      </c>
      <c r="F176" s="1262"/>
      <c r="G176" s="1263"/>
      <c r="H176" s="1263"/>
      <c r="I176" s="1269" t="str">
        <f>IF(B170="","10～14年前採用者の　　　　　〃　　　　（イ～エの平均）","〔"&amp;S16&amp;"～"&amp;T20&amp;"採用者〕の　　　　　〃　　　　（イ～エの平均）")</f>
        <v>〔2014～2010年採用者〕の　　　　　〃　　　　（イ～エの平均）</v>
      </c>
      <c r="J176" s="1270"/>
      <c r="K176" s="1270"/>
      <c r="L176" s="1270"/>
      <c r="M176" s="1270"/>
      <c r="N176" s="1270"/>
      <c r="O176" s="1270"/>
      <c r="P176" s="1270"/>
      <c r="Q176" s="1270"/>
      <c r="R176" s="1270"/>
      <c r="S176" s="1270"/>
      <c r="T176" s="1270"/>
      <c r="U176" s="1270"/>
      <c r="V176" s="1270"/>
      <c r="W176" s="1270"/>
      <c r="X176" s="1271"/>
      <c r="Y176" s="1027" t="str">
        <f>IF(B170="","",VLOOKUP(E176,$E$347:$AA$420,21,FALSE))</f>
        <v>算出不能</v>
      </c>
      <c r="Z176" s="1028"/>
      <c r="AA176" s="1029"/>
    </row>
    <row r="177" spans="2:27" s="172" customFormat="1" ht="17.25" customHeight="1" thickBot="1" x14ac:dyDescent="0.2">
      <c r="B177" s="566"/>
      <c r="C177" s="567"/>
      <c r="D177" s="568"/>
      <c r="E177" s="249" t="str">
        <f>B170&amp;3</f>
        <v>なし3</v>
      </c>
      <c r="F177" s="1264"/>
      <c r="G177" s="1265"/>
      <c r="H177" s="1265"/>
      <c r="I177" s="1272" t="str">
        <f>IF(B170="","11～15年前採用者の　　　　　〃　　　　（ウ～オの平均）","〔"&amp;S17&amp;"～"&amp;T21&amp;"採用者〕の　　　　　〃　　　　（ウ～オの平均）")</f>
        <v>〔2013～2009年採用者〕の　　　　　〃　　　　（ウ～オの平均）</v>
      </c>
      <c r="J177" s="1273"/>
      <c r="K177" s="1273"/>
      <c r="L177" s="1273"/>
      <c r="M177" s="1273"/>
      <c r="N177" s="1273"/>
      <c r="O177" s="1273"/>
      <c r="P177" s="1273"/>
      <c r="Q177" s="1273"/>
      <c r="R177" s="1273"/>
      <c r="S177" s="1273"/>
      <c r="T177" s="1273"/>
      <c r="U177" s="1273"/>
      <c r="V177" s="1273"/>
      <c r="W177" s="1273"/>
      <c r="X177" s="1274"/>
      <c r="Y177" s="1030" t="str">
        <f>IF(B170="","",VLOOKUP(E177,$E$347:$AA$420,21,FALSE))</f>
        <v>算出不能</v>
      </c>
      <c r="Z177" s="1031"/>
      <c r="AA177" s="1032"/>
    </row>
    <row r="178" spans="2:27" s="172" customFormat="1" ht="17.25" customHeight="1" x14ac:dyDescent="0.15">
      <c r="B178" s="553"/>
      <c r="C178" s="554"/>
      <c r="D178" s="555"/>
      <c r="E178" s="227" t="str">
        <f>IF(B178="","",B178&amp;F$154)</f>
        <v/>
      </c>
      <c r="F178" s="1281" t="str">
        <f>IF(B178=""," 9～11年前採用者の10年後継続雇用割合の男女比　　　　　　　　　 上記ア","〔"&amp;S15&amp;"～"&amp;T17&amp;"採用者〕の"&amp;O16&amp;"における継続雇用割合の男女比（上記ア）")</f>
        <v xml:space="preserve"> 9～11年前採用者の10年後継続雇用割合の男女比　　　　　　　　　 上記ア</v>
      </c>
      <c r="G178" s="1270"/>
      <c r="H178" s="1270"/>
      <c r="I178" s="1276"/>
      <c r="J178" s="1276"/>
      <c r="K178" s="1276"/>
      <c r="L178" s="1276"/>
      <c r="M178" s="1276"/>
      <c r="N178" s="1276"/>
      <c r="O178" s="1276"/>
      <c r="P178" s="1276"/>
      <c r="Q178" s="1276"/>
      <c r="R178" s="1276"/>
      <c r="S178" s="1276"/>
      <c r="T178" s="1276"/>
      <c r="U178" s="1276"/>
      <c r="V178" s="1276"/>
      <c r="W178" s="1276"/>
      <c r="X178" s="1277"/>
      <c r="Y178" s="1278" t="str">
        <f>IF(B178="","",VLOOKUP(E178,E$153:Y$164,19,FALSE))</f>
        <v/>
      </c>
      <c r="Z178" s="1279"/>
      <c r="AA178" s="1280"/>
    </row>
    <row r="179" spans="2:27" s="172" customFormat="1" ht="17.25" customHeight="1" x14ac:dyDescent="0.15">
      <c r="B179" s="564"/>
      <c r="C179" s="1068"/>
      <c r="D179" s="565"/>
      <c r="E179" s="228" t="str">
        <f>IF(B178="","",B178&amp;DATE(YEAR($I$27)-11,MONTH($I$27),DAY($I$27))&amp;"その2")</f>
        <v/>
      </c>
      <c r="F179" s="1281" t="str">
        <f>IF(B178="","10～12年前採用者の　　　　　　〃　　　　　　（アの1年ずつ前）　別紙イ","〔"&amp;S16&amp;"～"&amp;T18&amp;"採用者〕の"&amp;O17&amp;"における　　　　　〃　　　　　別紙イ")</f>
        <v>10～12年前採用者の　　　　　　〃　　　　　　（アの1年ずつ前）　別紙イ</v>
      </c>
      <c r="G179" s="1270"/>
      <c r="H179" s="1270"/>
      <c r="I179" s="1270"/>
      <c r="J179" s="1270"/>
      <c r="K179" s="1270"/>
      <c r="L179" s="1270"/>
      <c r="M179" s="1270"/>
      <c r="N179" s="1270"/>
      <c r="O179" s="1270"/>
      <c r="P179" s="1270"/>
      <c r="Q179" s="1270"/>
      <c r="R179" s="1270"/>
      <c r="S179" s="1270"/>
      <c r="T179" s="1270"/>
      <c r="U179" s="1270"/>
      <c r="V179" s="1270"/>
      <c r="W179" s="1270"/>
      <c r="X179" s="1271"/>
      <c r="Y179" s="1027" t="str">
        <f>IF(B178="","",VLOOKUP(E179,$E$347:$AA$420,21,FALSE))</f>
        <v/>
      </c>
      <c r="Z179" s="1028"/>
      <c r="AA179" s="1282"/>
    </row>
    <row r="180" spans="2:27" s="172" customFormat="1" ht="17.25" customHeight="1" x14ac:dyDescent="0.15">
      <c r="B180" s="564"/>
      <c r="C180" s="1068"/>
      <c r="D180" s="565"/>
      <c r="E180" s="228" t="str">
        <f>IF(B178="","",B178&amp;DATE(YEAR($I$27)-12,MONTH($I$27),DAY($I$27)))</f>
        <v/>
      </c>
      <c r="F180" s="1281" t="str">
        <f>IF(B178="","11～13年前採用者の　　　　　　〃　　　　　　（アの2年ずつ前）　別紙ウ","〔"&amp;S17&amp;"～"&amp;T19&amp;"採用者〕の"&amp;O18&amp;"における　　　　　〃　　　　　別紙ウ")</f>
        <v>11～13年前採用者の　　　　　　〃　　　　　　（アの2年ずつ前）　別紙ウ</v>
      </c>
      <c r="G180" s="1270"/>
      <c r="H180" s="1270"/>
      <c r="I180" s="1270"/>
      <c r="J180" s="1270"/>
      <c r="K180" s="1270"/>
      <c r="L180" s="1270"/>
      <c r="M180" s="1270"/>
      <c r="N180" s="1270"/>
      <c r="O180" s="1270"/>
      <c r="P180" s="1270"/>
      <c r="Q180" s="1270"/>
      <c r="R180" s="1270"/>
      <c r="S180" s="1270"/>
      <c r="T180" s="1270"/>
      <c r="U180" s="1270"/>
      <c r="V180" s="1270"/>
      <c r="W180" s="1270"/>
      <c r="X180" s="1271"/>
      <c r="Y180" s="1027" t="str">
        <f>IF(B178="","",VLOOKUP(E180,$E$347:$AA$420,21,FALSE))</f>
        <v/>
      </c>
      <c r="Z180" s="1028"/>
      <c r="AA180" s="1282"/>
    </row>
    <row r="181" spans="2:27" s="172" customFormat="1" ht="17.25" customHeight="1" x14ac:dyDescent="0.15">
      <c r="B181" s="564"/>
      <c r="C181" s="1068"/>
      <c r="D181" s="565"/>
      <c r="E181" s="228" t="str">
        <f>IF(B178="","",B178&amp;DATE(YEAR($I$27)-13,MONTH($I$27),DAY($I$27)))</f>
        <v/>
      </c>
      <c r="F181" s="1281" t="str">
        <f>IF(B178="","12～14年前採用者の　　　　　　〃　　　　　　（アの3年ずつ前）　別紙エ","〔"&amp;S18&amp;"～"&amp;T20&amp;"採用者〕の"&amp;O19&amp;"における　　　　　〃　　　　　別紙エ")</f>
        <v>12～14年前採用者の　　　　　　〃　　　　　　（アの3年ずつ前）　別紙エ</v>
      </c>
      <c r="G181" s="1270"/>
      <c r="H181" s="1270"/>
      <c r="I181" s="1270"/>
      <c r="J181" s="1270"/>
      <c r="K181" s="1270"/>
      <c r="L181" s="1270"/>
      <c r="M181" s="1270"/>
      <c r="N181" s="1270"/>
      <c r="O181" s="1270"/>
      <c r="P181" s="1270"/>
      <c r="Q181" s="1270"/>
      <c r="R181" s="1270"/>
      <c r="S181" s="1270"/>
      <c r="T181" s="1270"/>
      <c r="U181" s="1270"/>
      <c r="V181" s="1270"/>
      <c r="W181" s="1270"/>
      <c r="X181" s="1271"/>
      <c r="Y181" s="1027" t="str">
        <f>IF(B178="","",VLOOKUP(E181,$E$347:$AA$420,21,FALSE))</f>
        <v/>
      </c>
      <c r="Z181" s="1028"/>
      <c r="AA181" s="1282"/>
    </row>
    <row r="182" spans="2:27" s="172" customFormat="1" ht="17.25" customHeight="1" thickBot="1" x14ac:dyDescent="0.2">
      <c r="B182" s="564"/>
      <c r="C182" s="1068"/>
      <c r="D182" s="565"/>
      <c r="E182" s="228" t="str">
        <f>IF(B178="","",B178&amp;DATE(YEAR($I$27)-14,MONTH($I$27),DAY($I$27)))</f>
        <v/>
      </c>
      <c r="F182" s="1281" t="str">
        <f>IF(B178="","13～15年前採用者の　　　　　　〃　　　　　　（アの4年ずつ前）　別紙オ","〔"&amp;S19&amp;"～"&amp;T21&amp;"採用者〕の"&amp;O20&amp;"における　　　　　〃　　　　　別紙オ")</f>
        <v>13～15年前採用者の　　　　　　〃　　　　　　（アの4年ずつ前）　別紙オ</v>
      </c>
      <c r="G182" s="1270"/>
      <c r="H182" s="1270"/>
      <c r="I182" s="1283"/>
      <c r="J182" s="1283"/>
      <c r="K182" s="1283"/>
      <c r="L182" s="1283"/>
      <c r="M182" s="1283"/>
      <c r="N182" s="1283"/>
      <c r="O182" s="1283"/>
      <c r="P182" s="1283"/>
      <c r="Q182" s="1283"/>
      <c r="R182" s="1283"/>
      <c r="S182" s="1283"/>
      <c r="T182" s="1283"/>
      <c r="U182" s="1283"/>
      <c r="V182" s="1283"/>
      <c r="W182" s="1283"/>
      <c r="X182" s="1284"/>
      <c r="Y182" s="1257" t="str">
        <f>IF(B178="","",VLOOKUP(E182,$E$347:$AA$420,21,FALSE))</f>
        <v/>
      </c>
      <c r="Z182" s="1258"/>
      <c r="AA182" s="1259"/>
    </row>
    <row r="183" spans="2:27" s="172" customFormat="1" ht="17.25" customHeight="1" x14ac:dyDescent="0.15">
      <c r="B183" s="564"/>
      <c r="C183" s="1068"/>
      <c r="D183" s="565"/>
      <c r="E183" s="248" t="str">
        <f>B178&amp;1</f>
        <v>1</v>
      </c>
      <c r="F183" s="1260"/>
      <c r="G183" s="1261"/>
      <c r="H183" s="1261"/>
      <c r="I183" s="1266" t="str">
        <f>IF(B178=""," 9～13年前採用者の３事業年度ごとの平均（ア～ウの平均）","〔"&amp;S15&amp;"～"&amp;T19&amp;"採用者〕の３事業年度ごとの平均（ア～ウの平均）")</f>
        <v xml:space="preserve"> 9～13年前採用者の３事業年度ごとの平均（ア～ウの平均）</v>
      </c>
      <c r="J183" s="1267"/>
      <c r="K183" s="1267"/>
      <c r="L183" s="1267"/>
      <c r="M183" s="1267"/>
      <c r="N183" s="1267"/>
      <c r="O183" s="1267"/>
      <c r="P183" s="1267"/>
      <c r="Q183" s="1267"/>
      <c r="R183" s="1267"/>
      <c r="S183" s="1267"/>
      <c r="T183" s="1267"/>
      <c r="U183" s="1267"/>
      <c r="V183" s="1267"/>
      <c r="W183" s="1267"/>
      <c r="X183" s="1268"/>
      <c r="Y183" s="1024" t="str">
        <f>IF(B178="","",VLOOKUP(E183,$E$347:$AA$420,21,FALSE))</f>
        <v/>
      </c>
      <c r="Z183" s="1025"/>
      <c r="AA183" s="1026"/>
    </row>
    <row r="184" spans="2:27" s="172" customFormat="1" ht="17.25" customHeight="1" x14ac:dyDescent="0.15">
      <c r="B184" s="564"/>
      <c r="C184" s="1068"/>
      <c r="D184" s="565"/>
      <c r="E184" s="248" t="str">
        <f>B178&amp;2</f>
        <v>2</v>
      </c>
      <c r="F184" s="1262"/>
      <c r="G184" s="1263"/>
      <c r="H184" s="1263"/>
      <c r="I184" s="1269" t="str">
        <f>IF(B178="","10～14年前採用者の　　　　　〃　　　　（イ～エの平均）","〔"&amp;S16&amp;"～"&amp;T20&amp;"採用者〕の　　　　　〃　　　　（イ～エの平均）")</f>
        <v>10～14年前採用者の　　　　　〃　　　　（イ～エの平均）</v>
      </c>
      <c r="J184" s="1270"/>
      <c r="K184" s="1270"/>
      <c r="L184" s="1270"/>
      <c r="M184" s="1270"/>
      <c r="N184" s="1270"/>
      <c r="O184" s="1270"/>
      <c r="P184" s="1270"/>
      <c r="Q184" s="1270"/>
      <c r="R184" s="1270"/>
      <c r="S184" s="1270"/>
      <c r="T184" s="1270"/>
      <c r="U184" s="1270"/>
      <c r="V184" s="1270"/>
      <c r="W184" s="1270"/>
      <c r="X184" s="1271"/>
      <c r="Y184" s="1027" t="str">
        <f>IF(B178="","",VLOOKUP(E184,$E$347:$AA$420,21,FALSE))</f>
        <v/>
      </c>
      <c r="Z184" s="1028"/>
      <c r="AA184" s="1029"/>
    </row>
    <row r="185" spans="2:27" s="172" customFormat="1" ht="17.25" customHeight="1" thickBot="1" x14ac:dyDescent="0.2">
      <c r="B185" s="566"/>
      <c r="C185" s="567"/>
      <c r="D185" s="568"/>
      <c r="E185" s="249" t="str">
        <f>B178&amp;3</f>
        <v>3</v>
      </c>
      <c r="F185" s="1264"/>
      <c r="G185" s="1265"/>
      <c r="H185" s="1265"/>
      <c r="I185" s="1272" t="str">
        <f>IF(B178="","11～15年前採用者の　　　　　〃　　　　（ウ～オの平均）","〔"&amp;S17&amp;"～"&amp;T21&amp;"採用者〕の　　　　　〃　　　　（ウ～オの平均）")</f>
        <v>11～15年前採用者の　　　　　〃　　　　（ウ～オの平均）</v>
      </c>
      <c r="J185" s="1273"/>
      <c r="K185" s="1273"/>
      <c r="L185" s="1273"/>
      <c r="M185" s="1273"/>
      <c r="N185" s="1273"/>
      <c r="O185" s="1273"/>
      <c r="P185" s="1273"/>
      <c r="Q185" s="1273"/>
      <c r="R185" s="1273"/>
      <c r="S185" s="1273"/>
      <c r="T185" s="1273"/>
      <c r="U185" s="1273"/>
      <c r="V185" s="1273"/>
      <c r="W185" s="1273"/>
      <c r="X185" s="1274"/>
      <c r="Y185" s="1030" t="str">
        <f>IF(B178="","",VLOOKUP(E185,$E$347:$AA$420,21,FALSE))</f>
        <v/>
      </c>
      <c r="Z185" s="1031"/>
      <c r="AA185" s="1032"/>
    </row>
    <row r="186" spans="2:27" s="172" customFormat="1" ht="17.25" customHeight="1" x14ac:dyDescent="0.15">
      <c r="B186" s="564"/>
      <c r="C186" s="1068"/>
      <c r="D186" s="565"/>
      <c r="E186" s="228" t="str">
        <f>IF(B186="","",B186&amp;F$154)</f>
        <v/>
      </c>
      <c r="F186" s="1275" t="str">
        <f>IF(B186=""," 9～11年前採用者の10年後継続雇用割合の男女比　　　　　　　　　 上記ア","〔"&amp;S15&amp;"～"&amp;T17&amp;"採用者〕の"&amp;O16&amp;"における継続雇用割合の男女比（上記ア）")</f>
        <v xml:space="preserve"> 9～11年前採用者の10年後継続雇用割合の男女比　　　　　　　　　 上記ア</v>
      </c>
      <c r="G186" s="1276"/>
      <c r="H186" s="1276"/>
      <c r="I186" s="1276"/>
      <c r="J186" s="1276"/>
      <c r="K186" s="1276"/>
      <c r="L186" s="1276"/>
      <c r="M186" s="1276"/>
      <c r="N186" s="1276"/>
      <c r="O186" s="1276"/>
      <c r="P186" s="1276"/>
      <c r="Q186" s="1276"/>
      <c r="R186" s="1276"/>
      <c r="S186" s="1276"/>
      <c r="T186" s="1276"/>
      <c r="U186" s="1276"/>
      <c r="V186" s="1276"/>
      <c r="W186" s="1276"/>
      <c r="X186" s="1277"/>
      <c r="Y186" s="1278" t="str">
        <f>IF(B186="","",VLOOKUP(E186,E$153:Y$164,19,FALSE))</f>
        <v/>
      </c>
      <c r="Z186" s="1279"/>
      <c r="AA186" s="1280"/>
    </row>
    <row r="187" spans="2:27" s="172" customFormat="1" ht="17.25" customHeight="1" x14ac:dyDescent="0.15">
      <c r="B187" s="564"/>
      <c r="C187" s="1068"/>
      <c r="D187" s="565"/>
      <c r="E187" s="228" t="str">
        <f>IF(B186="","",B186&amp;DATE(YEAR($I$27)-11,MONTH($I$27),DAY($I$27))&amp;"その2")</f>
        <v/>
      </c>
      <c r="F187" s="1281" t="str">
        <f>IF(B186="","10～12年前採用者の　　　　　　〃　　　　　　（アの1年ずつ前）　別紙イ","〔"&amp;S16&amp;"～"&amp;T18&amp;"採用者〕の"&amp;O17&amp;"における　　　　　〃　　　　　別紙イ")</f>
        <v>10～12年前採用者の　　　　　　〃　　　　　　（アの1年ずつ前）　別紙イ</v>
      </c>
      <c r="G187" s="1270"/>
      <c r="H187" s="1270"/>
      <c r="I187" s="1270"/>
      <c r="J187" s="1270"/>
      <c r="K187" s="1270"/>
      <c r="L187" s="1270"/>
      <c r="M187" s="1270"/>
      <c r="N187" s="1270"/>
      <c r="O187" s="1270"/>
      <c r="P187" s="1270"/>
      <c r="Q187" s="1270"/>
      <c r="R187" s="1270"/>
      <c r="S187" s="1270"/>
      <c r="T187" s="1270"/>
      <c r="U187" s="1270"/>
      <c r="V187" s="1270"/>
      <c r="W187" s="1270"/>
      <c r="X187" s="1271"/>
      <c r="Y187" s="1027" t="str">
        <f>IF(B186="","",VLOOKUP(E187,$E$347:$AA$420,21,FALSE))</f>
        <v/>
      </c>
      <c r="Z187" s="1028"/>
      <c r="AA187" s="1282"/>
    </row>
    <row r="188" spans="2:27" s="172" customFormat="1" ht="17.25" customHeight="1" x14ac:dyDescent="0.15">
      <c r="B188" s="564"/>
      <c r="C188" s="1068"/>
      <c r="D188" s="565"/>
      <c r="E188" s="228" t="str">
        <f>IF(B186="","",B186&amp;DATE(YEAR($I$27)-12,MONTH($I$27),DAY($I$27)))</f>
        <v/>
      </c>
      <c r="F188" s="1281" t="str">
        <f>IF(B186="","11～13年前採用者の　　　　　　〃　　　　　　（アの2年ずつ前）　別紙ウ","〔"&amp;S17&amp;"～"&amp;T19&amp;"採用者〕の"&amp;O18&amp;"における　　　　　〃　　　　　別紙ウ")</f>
        <v>11～13年前採用者の　　　　　　〃　　　　　　（アの2年ずつ前）　別紙ウ</v>
      </c>
      <c r="G188" s="1270"/>
      <c r="H188" s="1270"/>
      <c r="I188" s="1270"/>
      <c r="J188" s="1270"/>
      <c r="K188" s="1270"/>
      <c r="L188" s="1270"/>
      <c r="M188" s="1270"/>
      <c r="N188" s="1270"/>
      <c r="O188" s="1270"/>
      <c r="P188" s="1270"/>
      <c r="Q188" s="1270"/>
      <c r="R188" s="1270"/>
      <c r="S188" s="1270"/>
      <c r="T188" s="1270"/>
      <c r="U188" s="1270"/>
      <c r="V188" s="1270"/>
      <c r="W188" s="1270"/>
      <c r="X188" s="1271"/>
      <c r="Y188" s="1027" t="str">
        <f>IF(B186="","",VLOOKUP(E188,$E$347:$AA$420,21,FALSE))</f>
        <v/>
      </c>
      <c r="Z188" s="1028"/>
      <c r="AA188" s="1282"/>
    </row>
    <row r="189" spans="2:27" s="172" customFormat="1" ht="17.25" customHeight="1" x14ac:dyDescent="0.15">
      <c r="B189" s="564"/>
      <c r="C189" s="1068"/>
      <c r="D189" s="565"/>
      <c r="E189" s="228" t="str">
        <f>IF(B186="","",B186&amp;DATE(YEAR($I$27)-13,MONTH($I$27),DAY($I$27)))</f>
        <v/>
      </c>
      <c r="F189" s="1281" t="str">
        <f>IF(B186="","12～14年前採用者の　　　　　　〃　　　　　　（アの3年ずつ前）　別紙エ","〔"&amp;S18&amp;"～"&amp;T20&amp;"採用者〕の"&amp;O19&amp;"における　　　　　〃　　　　　別紙エ")</f>
        <v>12～14年前採用者の　　　　　　〃　　　　　　（アの3年ずつ前）　別紙エ</v>
      </c>
      <c r="G189" s="1270"/>
      <c r="H189" s="1270"/>
      <c r="I189" s="1270"/>
      <c r="J189" s="1270"/>
      <c r="K189" s="1270"/>
      <c r="L189" s="1270"/>
      <c r="M189" s="1270"/>
      <c r="N189" s="1270"/>
      <c r="O189" s="1270"/>
      <c r="P189" s="1270"/>
      <c r="Q189" s="1270"/>
      <c r="R189" s="1270"/>
      <c r="S189" s="1270"/>
      <c r="T189" s="1270"/>
      <c r="U189" s="1270"/>
      <c r="V189" s="1270"/>
      <c r="W189" s="1270"/>
      <c r="X189" s="1271"/>
      <c r="Y189" s="1027" t="str">
        <f>IF(B186="","",VLOOKUP(E189,$E$347:$AA$420,21,FALSE))</f>
        <v/>
      </c>
      <c r="Z189" s="1028"/>
      <c r="AA189" s="1282"/>
    </row>
    <row r="190" spans="2:27" s="172" customFormat="1" ht="17.25" customHeight="1" thickBot="1" x14ac:dyDescent="0.2">
      <c r="B190" s="564"/>
      <c r="C190" s="1068"/>
      <c r="D190" s="565"/>
      <c r="E190" s="228" t="str">
        <f>IF(B186="","",B186&amp;DATE(YEAR($I$27)-14,MONTH($I$27),DAY($I$27)))</f>
        <v/>
      </c>
      <c r="F190" s="1281" t="str">
        <f>IF(B186="","13～15年前採用者の　　　　　　〃　　　　　　（アの4年ずつ前）　別紙オ","〔"&amp;S19&amp;"～"&amp;T21&amp;"採用者〕の"&amp;O20&amp;"における　　　　　〃　　　　　別紙オ")</f>
        <v>13～15年前採用者の　　　　　　〃　　　　　　（アの4年ずつ前）　別紙オ</v>
      </c>
      <c r="G190" s="1270"/>
      <c r="H190" s="1270"/>
      <c r="I190" s="1283"/>
      <c r="J190" s="1283"/>
      <c r="K190" s="1283"/>
      <c r="L190" s="1283"/>
      <c r="M190" s="1283"/>
      <c r="N190" s="1283"/>
      <c r="O190" s="1283"/>
      <c r="P190" s="1283"/>
      <c r="Q190" s="1283"/>
      <c r="R190" s="1283"/>
      <c r="S190" s="1283"/>
      <c r="T190" s="1283"/>
      <c r="U190" s="1283"/>
      <c r="V190" s="1283"/>
      <c r="W190" s="1283"/>
      <c r="X190" s="1284"/>
      <c r="Y190" s="1257" t="str">
        <f>IF(B186="","",VLOOKUP(E190,$E$347:$AA$420,21,FALSE))</f>
        <v/>
      </c>
      <c r="Z190" s="1258"/>
      <c r="AA190" s="1259"/>
    </row>
    <row r="191" spans="2:27" s="172" customFormat="1" ht="17.25" customHeight="1" x14ac:dyDescent="0.15">
      <c r="B191" s="564"/>
      <c r="C191" s="1068"/>
      <c r="D191" s="565"/>
      <c r="E191" s="248" t="str">
        <f>B186&amp;1</f>
        <v>1</v>
      </c>
      <c r="F191" s="1260"/>
      <c r="G191" s="1261"/>
      <c r="H191" s="1261"/>
      <c r="I191" s="1266" t="str">
        <f>IF(B186=""," 9～13年前採用者の３事業年度ごとの平均（ア～ウの平均）","〔"&amp;S15&amp;"～"&amp;T19&amp;"採用者〕の３事業年度ごとの平均（ア～ウの平均）")</f>
        <v xml:space="preserve"> 9～13年前採用者の３事業年度ごとの平均（ア～ウの平均）</v>
      </c>
      <c r="J191" s="1267"/>
      <c r="K191" s="1267"/>
      <c r="L191" s="1267"/>
      <c r="M191" s="1267"/>
      <c r="N191" s="1267"/>
      <c r="O191" s="1267"/>
      <c r="P191" s="1267"/>
      <c r="Q191" s="1267"/>
      <c r="R191" s="1267"/>
      <c r="S191" s="1267"/>
      <c r="T191" s="1267"/>
      <c r="U191" s="1267"/>
      <c r="V191" s="1267"/>
      <c r="W191" s="1267"/>
      <c r="X191" s="1268"/>
      <c r="Y191" s="1024" t="str">
        <f>IF(B186="","",VLOOKUP(E191,$E$347:$AA$420,21,FALSE))</f>
        <v/>
      </c>
      <c r="Z191" s="1025"/>
      <c r="AA191" s="1026"/>
    </row>
    <row r="192" spans="2:27" s="172" customFormat="1" ht="17.25" customHeight="1" x14ac:dyDescent="0.15">
      <c r="B192" s="564"/>
      <c r="C192" s="1068"/>
      <c r="D192" s="565"/>
      <c r="E192" s="248" t="str">
        <f>B186&amp;2</f>
        <v>2</v>
      </c>
      <c r="F192" s="1262"/>
      <c r="G192" s="1263"/>
      <c r="H192" s="1263"/>
      <c r="I192" s="1269" t="str">
        <f>IF(B186="","10～14年前採用者の　　　　　〃　　　　（イ～エの平均）","〔"&amp;S16&amp;"～"&amp;T20&amp;"採用者〕の　　　　　〃　　　　（イ～エの平均）")</f>
        <v>10～14年前採用者の　　　　　〃　　　　（イ～エの平均）</v>
      </c>
      <c r="J192" s="1270"/>
      <c r="K192" s="1270"/>
      <c r="L192" s="1270"/>
      <c r="M192" s="1270"/>
      <c r="N192" s="1270"/>
      <c r="O192" s="1270"/>
      <c r="P192" s="1270"/>
      <c r="Q192" s="1270"/>
      <c r="R192" s="1270"/>
      <c r="S192" s="1270"/>
      <c r="T192" s="1270"/>
      <c r="U192" s="1270"/>
      <c r="V192" s="1270"/>
      <c r="W192" s="1270"/>
      <c r="X192" s="1271"/>
      <c r="Y192" s="1027" t="str">
        <f>IF(B186="","",VLOOKUP(E192,$E$347:$AA$420,21,FALSE))</f>
        <v/>
      </c>
      <c r="Z192" s="1028"/>
      <c r="AA192" s="1029"/>
    </row>
    <row r="193" spans="2:27" s="172" customFormat="1" ht="17.25" customHeight="1" thickBot="1" x14ac:dyDescent="0.2">
      <c r="B193" s="566"/>
      <c r="C193" s="567"/>
      <c r="D193" s="568"/>
      <c r="E193" s="249" t="str">
        <f>B186&amp;3</f>
        <v>3</v>
      </c>
      <c r="F193" s="1264"/>
      <c r="G193" s="1265"/>
      <c r="H193" s="1265"/>
      <c r="I193" s="1272" t="str">
        <f>IF(B186="","11～15年前採用者の　　　　　〃　　　　（ウ～オの平均）","〔"&amp;S17&amp;"～"&amp;T21&amp;"採用者〕の　　　　　〃　　　　（ウ～オの平均）")</f>
        <v>11～15年前採用者の　　　　　〃　　　　（ウ～オの平均）</v>
      </c>
      <c r="J193" s="1273"/>
      <c r="K193" s="1273"/>
      <c r="L193" s="1273"/>
      <c r="M193" s="1273"/>
      <c r="N193" s="1273"/>
      <c r="O193" s="1273"/>
      <c r="P193" s="1273"/>
      <c r="Q193" s="1273"/>
      <c r="R193" s="1273"/>
      <c r="S193" s="1273"/>
      <c r="T193" s="1273"/>
      <c r="U193" s="1273"/>
      <c r="V193" s="1273"/>
      <c r="W193" s="1273"/>
      <c r="X193" s="1274"/>
      <c r="Y193" s="1030" t="str">
        <f>IF(B186="","",VLOOKUP(E193,$E$347:$AA$420,21,FALSE))</f>
        <v/>
      </c>
      <c r="Z193" s="1031"/>
      <c r="AA193" s="1032"/>
    </row>
    <row r="194" spans="2:27" s="172" customFormat="1" ht="17.25" customHeight="1" x14ac:dyDescent="0.15">
      <c r="B194" s="250"/>
      <c r="C194" s="250"/>
      <c r="D194" s="250"/>
      <c r="E194" s="233"/>
      <c r="F194" s="233"/>
      <c r="G194" s="233"/>
      <c r="H194" s="233"/>
      <c r="I194" s="247"/>
      <c r="J194" s="247"/>
      <c r="K194" s="247"/>
      <c r="L194" s="247"/>
      <c r="M194" s="247"/>
      <c r="N194" s="170"/>
      <c r="O194" s="170"/>
      <c r="P194" s="247"/>
      <c r="Q194" s="247"/>
      <c r="R194" s="247"/>
      <c r="S194" s="247"/>
      <c r="T194" s="247"/>
      <c r="U194" s="170"/>
      <c r="V194" s="170"/>
      <c r="W194" s="251"/>
      <c r="X194" s="251"/>
      <c r="Y194" s="251"/>
      <c r="Z194" s="171"/>
      <c r="AA194" s="171"/>
    </row>
    <row r="195" spans="2:27" ht="17.25" customHeight="1" x14ac:dyDescent="0.15">
      <c r="B195" s="171" t="s">
        <v>157</v>
      </c>
      <c r="AA195" s="212" t="str">
        <f>IF(G$23="","",G$23)</f>
        <v>株式会社参画企画</v>
      </c>
    </row>
    <row r="196" spans="2:27" s="172" customFormat="1" ht="17.25" customHeight="1" x14ac:dyDescent="0.15"/>
    <row r="197" spans="2:27" ht="17.25" customHeight="1" thickBot="1" x14ac:dyDescent="0.2">
      <c r="B197" s="217" t="s">
        <v>131</v>
      </c>
    </row>
    <row r="198" spans="2:27" s="172" customFormat="1" ht="47.25" customHeight="1" thickTop="1" x14ac:dyDescent="0.15">
      <c r="B198" s="1254" t="s">
        <v>5</v>
      </c>
      <c r="C198" s="1255"/>
      <c r="D198" s="1255"/>
      <c r="E198" s="1255"/>
      <c r="F198" s="1255"/>
      <c r="G198" s="1227" t="s">
        <v>39</v>
      </c>
      <c r="H198" s="1256"/>
      <c r="I198" s="1256"/>
      <c r="J198" s="1256"/>
      <c r="K198" s="1228"/>
      <c r="L198" s="1105" t="s">
        <v>236</v>
      </c>
      <c r="M198" s="1156"/>
      <c r="N198" s="1156"/>
      <c r="O198" s="1156"/>
      <c r="P198" s="1156"/>
      <c r="Q198" s="1157"/>
      <c r="R198" s="1227" t="s">
        <v>35</v>
      </c>
      <c r="S198" s="1228"/>
    </row>
    <row r="199" spans="2:27" s="172" customFormat="1" ht="17.25" customHeight="1" x14ac:dyDescent="0.15">
      <c r="B199" s="1464">
        <f>IF($I$27="","",$I$27)</f>
        <v>45566</v>
      </c>
      <c r="C199" s="1465"/>
      <c r="D199" s="1465"/>
      <c r="E199" s="1465"/>
      <c r="F199" s="1465"/>
      <c r="G199" s="641">
        <v>14.3</v>
      </c>
      <c r="H199" s="642"/>
      <c r="I199" s="642"/>
      <c r="J199" s="642"/>
      <c r="K199" s="643"/>
      <c r="L199" s="1170" t="str">
        <f>IF(B199="","",IF(R26="",R25,R26))</f>
        <v>生活関連サービス業･娯楽業</v>
      </c>
      <c r="M199" s="1171"/>
      <c r="N199" s="1171"/>
      <c r="O199" s="1171"/>
      <c r="P199" s="1171"/>
      <c r="Q199" s="1172"/>
      <c r="R199" s="421" t="s">
        <v>269</v>
      </c>
      <c r="S199" s="422"/>
      <c r="T199" s="1250" t="str">
        <f>IF(G23="","",IF(OR(L199="",L200=""),"←Ｂ欄上段に産業分類（製造業は中分類）を、下段に産業平均値を記載",""))</f>
        <v/>
      </c>
      <c r="U199" s="1250"/>
      <c r="V199" s="1250"/>
      <c r="W199" s="1250"/>
      <c r="X199" s="1250"/>
      <c r="Y199" s="1250"/>
      <c r="Z199" s="1250"/>
      <c r="AA199" s="1250"/>
    </row>
    <row r="200" spans="2:27" s="172" customFormat="1" ht="17.25" customHeight="1" thickBot="1" x14ac:dyDescent="0.2">
      <c r="B200" s="1467"/>
      <c r="C200" s="1468"/>
      <c r="D200" s="1468"/>
      <c r="E200" s="1468"/>
      <c r="F200" s="1468"/>
      <c r="G200" s="644"/>
      <c r="H200" s="645"/>
      <c r="I200" s="645"/>
      <c r="J200" s="645"/>
      <c r="K200" s="646"/>
      <c r="L200" s="933">
        <v>9.3000000000000007</v>
      </c>
      <c r="M200" s="934"/>
      <c r="N200" s="934"/>
      <c r="O200" s="934"/>
      <c r="P200" s="934"/>
      <c r="Q200" s="935"/>
      <c r="R200" s="425"/>
      <c r="S200" s="426"/>
      <c r="T200" s="1250"/>
      <c r="U200" s="1250"/>
      <c r="V200" s="1250"/>
      <c r="W200" s="1250"/>
      <c r="X200" s="1250"/>
      <c r="Y200" s="1250"/>
      <c r="Z200" s="1250"/>
      <c r="AA200" s="1250"/>
    </row>
    <row r="201" spans="2:27" ht="17.25" customHeight="1" thickTop="1" x14ac:dyDescent="0.15">
      <c r="S201" s="165" t="str">
        <f>IF(G23="","",IF(R199="","リストから選択↑　",""))</f>
        <v/>
      </c>
    </row>
    <row r="202" spans="2:27" ht="17.25" customHeight="1" x14ac:dyDescent="0.15">
      <c r="B202" s="172" t="s">
        <v>214</v>
      </c>
      <c r="L202" s="165"/>
    </row>
    <row r="203" spans="2:27" s="172" customFormat="1" ht="47.25" customHeight="1" x14ac:dyDescent="0.15">
      <c r="B203" s="1085" t="s">
        <v>185</v>
      </c>
      <c r="C203" s="1086"/>
      <c r="D203" s="1086"/>
      <c r="E203" s="1086"/>
      <c r="F203" s="1087"/>
      <c r="G203" s="1085" t="s">
        <v>186</v>
      </c>
      <c r="H203" s="1086"/>
      <c r="I203" s="1086"/>
      <c r="J203" s="1086"/>
      <c r="K203" s="1087"/>
      <c r="L203" s="165"/>
    </row>
    <row r="204" spans="2:27" s="176" customFormat="1" ht="17.25" customHeight="1" x14ac:dyDescent="0.15">
      <c r="B204" s="1455" t="str">
        <f>IF($R$199="非該当",DATE(YEAR($I$27)-1,MONTH($I$27),DAY($I$27)),"")</f>
        <v/>
      </c>
      <c r="C204" s="1456"/>
      <c r="D204" s="1456"/>
      <c r="E204" s="1456"/>
      <c r="F204" s="1457"/>
      <c r="G204" s="631"/>
      <c r="H204" s="632"/>
      <c r="I204" s="632"/>
      <c r="J204" s="632"/>
      <c r="K204" s="633"/>
      <c r="L204" s="1251" t="s">
        <v>187</v>
      </c>
      <c r="M204" s="1252"/>
      <c r="N204" s="1252"/>
      <c r="O204" s="1252"/>
      <c r="P204" s="1252"/>
      <c r="Q204" s="1252"/>
      <c r="R204" s="1252"/>
      <c r="S204" s="1253"/>
    </row>
    <row r="205" spans="2:27" s="176" customFormat="1" ht="17.25" customHeight="1" x14ac:dyDescent="0.15">
      <c r="B205" s="1455" t="str">
        <f>IF($R$199="非該当",DATE(YEAR($I$27)-2,MONTH($I$27),DAY($I$27)),"")</f>
        <v/>
      </c>
      <c r="C205" s="1456"/>
      <c r="D205" s="1456"/>
      <c r="E205" s="1456"/>
      <c r="F205" s="1457"/>
      <c r="G205" s="631"/>
      <c r="H205" s="632"/>
      <c r="I205" s="632"/>
      <c r="J205" s="632"/>
      <c r="K205" s="633"/>
      <c r="L205" s="1153" t="str">
        <f>IF(B205="","～",P16&amp;"～"&amp;Q18)</f>
        <v>～</v>
      </c>
      <c r="M205" s="1154"/>
      <c r="N205" s="1154"/>
      <c r="O205" s="1155"/>
      <c r="P205" s="1246" t="str">
        <f>IF(B205="","",ROUND(AVERAGE(G199,G204,G205),1))</f>
        <v/>
      </c>
      <c r="Q205" s="1247"/>
      <c r="R205" s="1247"/>
      <c r="S205" s="1248"/>
      <c r="T205" s="252"/>
      <c r="V205" s="252"/>
      <c r="W205" s="252"/>
      <c r="Z205" s="252"/>
      <c r="AA205" s="252"/>
    </row>
    <row r="206" spans="2:27" s="176" customFormat="1" ht="17.25" customHeight="1" x14ac:dyDescent="0.15">
      <c r="B206" s="1455" t="str">
        <f>IF($R$199="非該当",DATE(YEAR($I$27)-3,MONTH($I$27),DAY($I$27)),"")</f>
        <v/>
      </c>
      <c r="C206" s="1456"/>
      <c r="D206" s="1456"/>
      <c r="E206" s="1456"/>
      <c r="F206" s="1457"/>
      <c r="G206" s="631"/>
      <c r="H206" s="632"/>
      <c r="I206" s="632"/>
      <c r="J206" s="632"/>
      <c r="K206" s="633"/>
      <c r="L206" s="1153" t="str">
        <f>IF(B206="","～",P17&amp;"～"&amp;Q19)</f>
        <v>～</v>
      </c>
      <c r="M206" s="1154"/>
      <c r="N206" s="1154"/>
      <c r="O206" s="1155"/>
      <c r="P206" s="1246" t="str">
        <f>IF(B206="","",ROUND(AVERAGE(G204,G205,G206),1))</f>
        <v/>
      </c>
      <c r="Q206" s="1247"/>
      <c r="R206" s="1247"/>
      <c r="S206" s="1248"/>
      <c r="T206" s="252"/>
      <c r="V206" s="252"/>
      <c r="W206" s="252"/>
      <c r="Z206" s="252"/>
      <c r="AA206" s="252"/>
    </row>
    <row r="207" spans="2:27" s="176" customFormat="1" ht="17.25" customHeight="1" x14ac:dyDescent="0.15">
      <c r="B207" s="1455" t="str">
        <f>IF($R$199="非該当",DATE(YEAR($I$27)-4,MONTH($I$27),DAY($I$27)),"")</f>
        <v/>
      </c>
      <c r="C207" s="1456"/>
      <c r="D207" s="1456"/>
      <c r="E207" s="1456"/>
      <c r="F207" s="1457"/>
      <c r="G207" s="631"/>
      <c r="H207" s="632"/>
      <c r="I207" s="632"/>
      <c r="J207" s="632"/>
      <c r="K207" s="633"/>
      <c r="L207" s="1153" t="str">
        <f>IF(B207="","～",P18&amp;"～"&amp;Q20)</f>
        <v>～</v>
      </c>
      <c r="M207" s="1154"/>
      <c r="N207" s="1154"/>
      <c r="O207" s="1155"/>
      <c r="P207" s="1246" t="str">
        <f>IF(B207="","",ROUND(AVERAGE(G205,G206,G207),1))</f>
        <v/>
      </c>
      <c r="Q207" s="1247"/>
      <c r="R207" s="1247"/>
      <c r="S207" s="1248"/>
      <c r="T207" s="252"/>
      <c r="V207" s="252"/>
      <c r="W207" s="252"/>
      <c r="X207" s="252"/>
      <c r="Y207" s="252"/>
      <c r="Z207" s="252"/>
      <c r="AA207" s="252"/>
    </row>
    <row r="208" spans="2:27" ht="17.25" customHeight="1" x14ac:dyDescent="0.15">
      <c r="L208" s="165"/>
    </row>
    <row r="209" spans="2:27" ht="30.75" customHeight="1" x14ac:dyDescent="0.15">
      <c r="B209" s="211" t="s">
        <v>158</v>
      </c>
      <c r="H209" s="211"/>
      <c r="AA209" s="212" t="str">
        <f>IF(G$23="","",G$23)</f>
        <v>株式会社参画企画</v>
      </c>
    </row>
    <row r="210" spans="2:27" s="176" customFormat="1" ht="17.25" customHeight="1" x14ac:dyDescent="0.15">
      <c r="B210" s="1107" t="s">
        <v>149</v>
      </c>
      <c r="C210" s="1108"/>
      <c r="D210" s="1108"/>
      <c r="E210" s="1108"/>
      <c r="F210" s="1108"/>
      <c r="G210" s="1108"/>
      <c r="H210" s="1108"/>
      <c r="I210" s="1108"/>
      <c r="J210" s="1108"/>
      <c r="K210" s="1108"/>
      <c r="L210" s="1108"/>
      <c r="M210" s="1108"/>
      <c r="N210" s="1108"/>
      <c r="O210" s="1108"/>
      <c r="P210" s="1108"/>
      <c r="Q210" s="1108"/>
      <c r="R210" s="1108"/>
      <c r="S210" s="1108"/>
      <c r="T210" s="1108"/>
      <c r="U210" s="1108"/>
      <c r="V210" s="1108"/>
      <c r="W210" s="1108"/>
      <c r="X210" s="1108"/>
      <c r="Y210" s="1108"/>
      <c r="Z210" s="1108"/>
      <c r="AA210" s="1109"/>
    </row>
    <row r="211" spans="2:27" s="176" customFormat="1" ht="27" customHeight="1" x14ac:dyDescent="0.15">
      <c r="B211" s="1110" t="s">
        <v>16</v>
      </c>
      <c r="C211" s="1111"/>
      <c r="D211" s="1111"/>
      <c r="E211" s="1111"/>
      <c r="F211" s="1111"/>
      <c r="G211" s="1111"/>
      <c r="H211" s="1111"/>
      <c r="I211" s="1111"/>
      <c r="J211" s="1111"/>
      <c r="K211" s="1111"/>
      <c r="L211" s="1111"/>
      <c r="M211" s="1111"/>
      <c r="N211" s="1111"/>
      <c r="O211" s="1111"/>
      <c r="P211" s="1111"/>
      <c r="Q211" s="1111"/>
      <c r="R211" s="1111"/>
      <c r="S211" s="1111"/>
      <c r="T211" s="1111"/>
      <c r="U211" s="1111"/>
      <c r="V211" s="1111"/>
      <c r="W211" s="1111"/>
      <c r="X211" s="1111"/>
      <c r="Y211" s="1111"/>
      <c r="Z211" s="1111"/>
      <c r="AA211" s="1112"/>
    </row>
    <row r="212" spans="2:27" s="176" customFormat="1" ht="27" customHeight="1" x14ac:dyDescent="0.15">
      <c r="B212" s="1113" t="s">
        <v>17</v>
      </c>
      <c r="C212" s="1176"/>
      <c r="D212" s="1176"/>
      <c r="E212" s="1176"/>
      <c r="F212" s="1176"/>
      <c r="G212" s="1176"/>
      <c r="H212" s="1176"/>
      <c r="I212" s="1176"/>
      <c r="J212" s="1176"/>
      <c r="K212" s="1176"/>
      <c r="L212" s="1176"/>
      <c r="M212" s="1176"/>
      <c r="N212" s="1176"/>
      <c r="O212" s="1176"/>
      <c r="P212" s="1176"/>
      <c r="Q212" s="1176"/>
      <c r="R212" s="1176"/>
      <c r="S212" s="1176"/>
      <c r="T212" s="1176"/>
      <c r="U212" s="1176"/>
      <c r="V212" s="1176"/>
      <c r="W212" s="1176"/>
      <c r="X212" s="1176"/>
      <c r="Y212" s="1176"/>
      <c r="Z212" s="1176"/>
      <c r="AA212" s="1177"/>
    </row>
    <row r="213" spans="2:27" s="176" customFormat="1" ht="17.25" customHeight="1" x14ac:dyDescent="0.15">
      <c r="B213" s="1113" t="s">
        <v>18</v>
      </c>
      <c r="C213" s="1176"/>
      <c r="D213" s="1176"/>
      <c r="E213" s="1176"/>
      <c r="F213" s="1176"/>
      <c r="G213" s="1176"/>
      <c r="H213" s="1176"/>
      <c r="I213" s="1176"/>
      <c r="J213" s="1176"/>
      <c r="K213" s="1176"/>
      <c r="L213" s="1176"/>
      <c r="M213" s="1176"/>
      <c r="N213" s="1176"/>
      <c r="O213" s="1176"/>
      <c r="P213" s="1176"/>
      <c r="Q213" s="1176"/>
      <c r="R213" s="1176"/>
      <c r="S213" s="1176"/>
      <c r="T213" s="1176"/>
      <c r="U213" s="1176"/>
      <c r="V213" s="1176"/>
      <c r="W213" s="1176"/>
      <c r="X213" s="1176"/>
      <c r="Y213" s="1176"/>
      <c r="Z213" s="1176"/>
      <c r="AA213" s="1177"/>
    </row>
    <row r="214" spans="2:27" s="176" customFormat="1" ht="27" customHeight="1" x14ac:dyDescent="0.15">
      <c r="B214" s="1116" t="s">
        <v>90</v>
      </c>
      <c r="C214" s="1178"/>
      <c r="D214" s="1178"/>
      <c r="E214" s="1178"/>
      <c r="F214" s="1178"/>
      <c r="G214" s="1178"/>
      <c r="H214" s="1178"/>
      <c r="I214" s="1178"/>
      <c r="J214" s="1178"/>
      <c r="K214" s="1178"/>
      <c r="L214" s="1178"/>
      <c r="M214" s="1178"/>
      <c r="N214" s="1178"/>
      <c r="O214" s="1178"/>
      <c r="P214" s="1178"/>
      <c r="Q214" s="1178"/>
      <c r="R214" s="1178"/>
      <c r="S214" s="1178"/>
      <c r="T214" s="1178"/>
      <c r="U214" s="1178"/>
      <c r="V214" s="1178"/>
      <c r="W214" s="1178"/>
      <c r="X214" s="1178"/>
      <c r="Y214" s="1178"/>
      <c r="Z214" s="1178"/>
      <c r="AA214" s="1179"/>
    </row>
    <row r="215" spans="2:27" ht="17.25" customHeight="1" x14ac:dyDescent="0.15"/>
    <row r="216" spans="2:27" ht="17.25" customHeight="1" x14ac:dyDescent="0.15">
      <c r="B216" s="232" t="s">
        <v>22</v>
      </c>
    </row>
    <row r="217" spans="2:27" ht="16.5" customHeight="1" thickBot="1" x14ac:dyDescent="0.2">
      <c r="C217" s="218" t="s">
        <v>245</v>
      </c>
      <c r="D217" s="218"/>
      <c r="E217" s="218"/>
      <c r="F217" s="218"/>
      <c r="G217" s="218"/>
      <c r="H217" s="218"/>
      <c r="I217" s="218"/>
      <c r="J217" s="218"/>
      <c r="K217" s="218"/>
      <c r="L217" s="218"/>
      <c r="M217" s="218"/>
      <c r="N217" s="218"/>
      <c r="O217" s="218"/>
      <c r="P217" s="218"/>
      <c r="Q217" s="218"/>
      <c r="R217" s="218"/>
      <c r="S217" s="218"/>
      <c r="T217" s="218"/>
      <c r="U217" s="218"/>
      <c r="V217" s="218"/>
      <c r="W217" s="218"/>
      <c r="X217" s="218"/>
      <c r="Y217" s="218"/>
      <c r="Z217" s="218"/>
      <c r="AA217" s="218"/>
    </row>
    <row r="218" spans="2:27" s="172" customFormat="1" ht="54" customHeight="1" thickTop="1" thickBot="1" x14ac:dyDescent="0.2">
      <c r="B218" s="1088" t="s">
        <v>0</v>
      </c>
      <c r="C218" s="1089"/>
      <c r="D218" s="1090"/>
      <c r="E218" s="233"/>
      <c r="F218" s="1088" t="s">
        <v>19</v>
      </c>
      <c r="G218" s="1089"/>
      <c r="H218" s="1090"/>
      <c r="I218" s="1085" t="s">
        <v>215</v>
      </c>
      <c r="J218" s="1086"/>
      <c r="K218" s="1087"/>
      <c r="L218" s="1085" t="s">
        <v>216</v>
      </c>
      <c r="M218" s="1089"/>
      <c r="N218" s="1227" t="s">
        <v>217</v>
      </c>
      <c r="O218" s="1233"/>
      <c r="P218" s="1089" t="s">
        <v>19</v>
      </c>
      <c r="Q218" s="1089"/>
      <c r="R218" s="1090"/>
      <c r="S218" s="1085" t="s">
        <v>215</v>
      </c>
      <c r="T218" s="1086"/>
      <c r="U218" s="1087"/>
      <c r="V218" s="1085" t="s">
        <v>216</v>
      </c>
      <c r="W218" s="1089"/>
      <c r="X218" s="1227" t="s">
        <v>217</v>
      </c>
      <c r="Y218" s="1233"/>
      <c r="Z218" s="1238" t="s">
        <v>197</v>
      </c>
      <c r="AA218" s="1245"/>
    </row>
    <row r="219" spans="2:27" ht="17.25" customHeight="1" thickTop="1" thickBot="1" x14ac:dyDescent="0.2">
      <c r="B219" s="612" t="s">
        <v>279</v>
      </c>
      <c r="C219" s="613"/>
      <c r="D219" s="614"/>
      <c r="E219" s="179"/>
      <c r="F219" s="1479">
        <f>IF($B219="","　　年　月",DATE(YEAR($I$27),MONTH($I$27),DAY($I$27)))</f>
        <v>45566</v>
      </c>
      <c r="G219" s="1480"/>
      <c r="H219" s="1481"/>
      <c r="I219" s="607">
        <v>38</v>
      </c>
      <c r="J219" s="608"/>
      <c r="K219" s="609"/>
      <c r="L219" s="463">
        <v>22</v>
      </c>
      <c r="M219" s="593"/>
      <c r="N219" s="1236">
        <f>IF($B$219="","",I219/L219)</f>
        <v>1.7272727272727273</v>
      </c>
      <c r="O219" s="1237"/>
      <c r="P219" s="1480">
        <f>IF($B219="","　　年　月",DATE(YEAR($I$27),MONTH($I$27)+6,DAY($I$27)))</f>
        <v>45748</v>
      </c>
      <c r="Q219" s="1480"/>
      <c r="R219" s="1481"/>
      <c r="S219" s="607">
        <v>18</v>
      </c>
      <c r="T219" s="608"/>
      <c r="U219" s="609"/>
      <c r="V219" s="463">
        <v>21</v>
      </c>
      <c r="W219" s="593"/>
      <c r="X219" s="1236">
        <f>IF($B$219="","",S219/V219)</f>
        <v>0.8571428571428571</v>
      </c>
      <c r="Y219" s="1237"/>
      <c r="Z219" s="1238" t="str">
        <f>IF(B219="","",IF(COUNTIF(N219:O224,"&gt;=45")+COUNTIF(X219:Y224,"&gt;=45")&gt;0,"Ａ≧45　あり","全月　　Ａ＜45"))</f>
        <v>全月　　Ａ＜45</v>
      </c>
      <c r="AA219" s="1239"/>
    </row>
    <row r="220" spans="2:27" ht="17.25" customHeight="1" thickTop="1" thickBot="1" x14ac:dyDescent="0.2">
      <c r="B220" s="615"/>
      <c r="C220" s="1240"/>
      <c r="D220" s="617"/>
      <c r="E220" s="179"/>
      <c r="F220" s="1479">
        <f>IF($B219="","　　年　月",DATE(YEAR($I$27),MONTH($I$27)+1,DAY($I$27)))</f>
        <v>45597</v>
      </c>
      <c r="G220" s="1480"/>
      <c r="H220" s="1481"/>
      <c r="I220" s="596">
        <v>39</v>
      </c>
      <c r="J220" s="597"/>
      <c r="K220" s="598"/>
      <c r="L220" s="463">
        <v>22</v>
      </c>
      <c r="M220" s="593"/>
      <c r="N220" s="1234">
        <f>IF($B$219="","",I220/L220)</f>
        <v>1.7727272727272727</v>
      </c>
      <c r="O220" s="1235"/>
      <c r="P220" s="1480">
        <f>IF($B219="","　　年　月",DATE(YEAR($I$27),MONTH($I$27)+7,DAY($I$27)))</f>
        <v>45778</v>
      </c>
      <c r="Q220" s="1480"/>
      <c r="R220" s="1481"/>
      <c r="S220" s="596">
        <v>59</v>
      </c>
      <c r="T220" s="597"/>
      <c r="U220" s="598"/>
      <c r="V220" s="463">
        <v>21</v>
      </c>
      <c r="W220" s="593"/>
      <c r="X220" s="1234">
        <f t="shared" ref="X220:X223" si="11">IF($B$219="","",S220/V220)</f>
        <v>2.8095238095238093</v>
      </c>
      <c r="Y220" s="1235"/>
      <c r="Z220" s="1238"/>
      <c r="AA220" s="1239"/>
    </row>
    <row r="221" spans="2:27" ht="17.25" customHeight="1" thickTop="1" thickBot="1" x14ac:dyDescent="0.2">
      <c r="B221" s="615"/>
      <c r="C221" s="1240"/>
      <c r="D221" s="617"/>
      <c r="E221" s="179"/>
      <c r="F221" s="1479">
        <f>IF($B219="","　　年　月",DATE(YEAR($I$27),MONTH($I$27)+2,DAY($I$27)))</f>
        <v>45627</v>
      </c>
      <c r="G221" s="1480"/>
      <c r="H221" s="1481"/>
      <c r="I221" s="596">
        <v>22</v>
      </c>
      <c r="J221" s="597"/>
      <c r="K221" s="598"/>
      <c r="L221" s="463">
        <v>22</v>
      </c>
      <c r="M221" s="593"/>
      <c r="N221" s="1234">
        <f t="shared" ref="N221:N223" si="12">IF($B$219="","",I221/L221)</f>
        <v>1</v>
      </c>
      <c r="O221" s="1235"/>
      <c r="P221" s="1480">
        <f>IF($B219="","　　年　月",DATE(YEAR($I$27),MONTH($I$27)+8,DAY($I$27)))</f>
        <v>45809</v>
      </c>
      <c r="Q221" s="1480"/>
      <c r="R221" s="1481"/>
      <c r="S221" s="596">
        <v>35</v>
      </c>
      <c r="T221" s="597"/>
      <c r="U221" s="598"/>
      <c r="V221" s="463">
        <v>21</v>
      </c>
      <c r="W221" s="593"/>
      <c r="X221" s="1234">
        <f t="shared" si="11"/>
        <v>1.6666666666666667</v>
      </c>
      <c r="Y221" s="1235"/>
      <c r="Z221" s="1238"/>
      <c r="AA221" s="1239"/>
    </row>
    <row r="222" spans="2:27" ht="17.25" customHeight="1" thickTop="1" thickBot="1" x14ac:dyDescent="0.2">
      <c r="B222" s="615"/>
      <c r="C222" s="1240"/>
      <c r="D222" s="617"/>
      <c r="E222" s="179"/>
      <c r="F222" s="1479">
        <f>IF($B219="","　　年　月",DATE(YEAR($I$27),MONTH($I$27)+3,DAY($I$27)))</f>
        <v>45658</v>
      </c>
      <c r="G222" s="1480"/>
      <c r="H222" s="1481"/>
      <c r="I222" s="596">
        <v>15</v>
      </c>
      <c r="J222" s="597"/>
      <c r="K222" s="598"/>
      <c r="L222" s="463">
        <v>21</v>
      </c>
      <c r="M222" s="593"/>
      <c r="N222" s="1234">
        <f t="shared" si="12"/>
        <v>0.7142857142857143</v>
      </c>
      <c r="O222" s="1235"/>
      <c r="P222" s="1480">
        <f>IF($B219="","　　年　月",DATE(YEAR($I$27),MONTH($I$27)+9,DAY($I$27)))</f>
        <v>45839</v>
      </c>
      <c r="Q222" s="1480"/>
      <c r="R222" s="1481"/>
      <c r="S222" s="596">
        <v>31</v>
      </c>
      <c r="T222" s="597"/>
      <c r="U222" s="598"/>
      <c r="V222" s="463">
        <v>22</v>
      </c>
      <c r="W222" s="593"/>
      <c r="X222" s="1234">
        <f t="shared" si="11"/>
        <v>1.4090909090909092</v>
      </c>
      <c r="Y222" s="1235"/>
      <c r="Z222" s="1238"/>
      <c r="AA222" s="1239"/>
    </row>
    <row r="223" spans="2:27" ht="17.25" customHeight="1" thickTop="1" thickBot="1" x14ac:dyDescent="0.2">
      <c r="B223" s="615"/>
      <c r="C223" s="1240"/>
      <c r="D223" s="617"/>
      <c r="E223" s="179"/>
      <c r="F223" s="1479">
        <f>IF($B219="","　　年　月",DATE(YEAR($I$27),MONTH($I$27)+4,DAY($I$27)))</f>
        <v>45689</v>
      </c>
      <c r="G223" s="1480"/>
      <c r="H223" s="1481"/>
      <c r="I223" s="596">
        <v>42</v>
      </c>
      <c r="J223" s="597"/>
      <c r="K223" s="598"/>
      <c r="L223" s="463">
        <v>21</v>
      </c>
      <c r="M223" s="593"/>
      <c r="N223" s="1234">
        <f t="shared" si="12"/>
        <v>2</v>
      </c>
      <c r="O223" s="1235"/>
      <c r="P223" s="1480">
        <f>IF($B219="","　　年　月",DATE(YEAR($I$27),MONTH($I$27)+10,DAY($I$27)))</f>
        <v>45870</v>
      </c>
      <c r="Q223" s="1480"/>
      <c r="R223" s="1481"/>
      <c r="S223" s="596">
        <v>12</v>
      </c>
      <c r="T223" s="597"/>
      <c r="U223" s="598"/>
      <c r="V223" s="463">
        <v>22</v>
      </c>
      <c r="W223" s="593"/>
      <c r="X223" s="1234">
        <f t="shared" si="11"/>
        <v>0.54545454545454541</v>
      </c>
      <c r="Y223" s="1235"/>
      <c r="Z223" s="1238"/>
      <c r="AA223" s="1239"/>
    </row>
    <row r="224" spans="2:27" ht="17.25" customHeight="1" thickTop="1" thickBot="1" x14ac:dyDescent="0.2">
      <c r="B224" s="618"/>
      <c r="C224" s="619"/>
      <c r="D224" s="620"/>
      <c r="E224" s="179"/>
      <c r="F224" s="1479">
        <f>IF($B219="","　　年　月",DATE(YEAR($I$27),MONTH($I$27)+5,DAY($I$27)))</f>
        <v>45717</v>
      </c>
      <c r="G224" s="1480"/>
      <c r="H224" s="1481"/>
      <c r="I224" s="596">
        <v>31</v>
      </c>
      <c r="J224" s="597"/>
      <c r="K224" s="598"/>
      <c r="L224" s="463">
        <v>21</v>
      </c>
      <c r="M224" s="593"/>
      <c r="N224" s="1243">
        <f>IF($B$219="","",I224/L224)</f>
        <v>1.4761904761904763</v>
      </c>
      <c r="O224" s="1244"/>
      <c r="P224" s="1480">
        <f>IF($B219="","　　年　月",DATE(YEAR($I$27),MONTH($I$27)+11,DAY($I$27)))</f>
        <v>45901</v>
      </c>
      <c r="Q224" s="1480"/>
      <c r="R224" s="1481"/>
      <c r="S224" s="596">
        <v>8</v>
      </c>
      <c r="T224" s="597"/>
      <c r="U224" s="598"/>
      <c r="V224" s="463">
        <v>21</v>
      </c>
      <c r="W224" s="593"/>
      <c r="X224" s="1243">
        <f>IF($B$219="","",S224/V224)</f>
        <v>0.38095238095238093</v>
      </c>
      <c r="Y224" s="1244"/>
      <c r="Z224" s="1238"/>
      <c r="AA224" s="1239"/>
    </row>
    <row r="225" spans="2:27" ht="17.25" customHeight="1" thickTop="1" thickBot="1" x14ac:dyDescent="0.2">
      <c r="B225" s="612"/>
      <c r="C225" s="613"/>
      <c r="D225" s="614"/>
      <c r="E225" s="179"/>
      <c r="F225" s="1479" t="str">
        <f>IF($B225="","　　年　月",DATE(YEAR($I$27),MONTH($I$27),DAY($I$27)))</f>
        <v>　　年　月</v>
      </c>
      <c r="G225" s="1480"/>
      <c r="H225" s="1481"/>
      <c r="I225" s="596"/>
      <c r="J225" s="597"/>
      <c r="K225" s="598"/>
      <c r="L225" s="463"/>
      <c r="M225" s="593"/>
      <c r="N225" s="1241" t="str">
        <f>IF($B$225="","",I225/L225)</f>
        <v/>
      </c>
      <c r="O225" s="1242"/>
      <c r="P225" s="1480" t="str">
        <f>IF($B225="","　　年　月",DATE(YEAR($I$27),MONTH($I$27)+6,DAY($I$27)))</f>
        <v>　　年　月</v>
      </c>
      <c r="Q225" s="1480"/>
      <c r="R225" s="1481"/>
      <c r="S225" s="596"/>
      <c r="T225" s="597"/>
      <c r="U225" s="598"/>
      <c r="V225" s="463"/>
      <c r="W225" s="593"/>
      <c r="X225" s="1241" t="str">
        <f>IF($B$225="","",S225/V225)</f>
        <v/>
      </c>
      <c r="Y225" s="1242"/>
      <c r="Z225" s="1238" t="str">
        <f>IF(B225="","",IF(COUNTIF(N225:O230,"&gt;=45")+COUNTIF(X225:Y230,"&gt;=45")&gt;0,"Ａ≧45　あり","全月　　Ａ＜45"))</f>
        <v/>
      </c>
      <c r="AA225" s="1239"/>
    </row>
    <row r="226" spans="2:27" ht="17.25" customHeight="1" thickTop="1" thickBot="1" x14ac:dyDescent="0.2">
      <c r="B226" s="615"/>
      <c r="C226" s="1240"/>
      <c r="D226" s="617"/>
      <c r="E226" s="179"/>
      <c r="F226" s="1479" t="str">
        <f>IF($B225="","　　年　月",DATE(YEAR($I$27),MONTH($I$27)+1,DAY($I$27)))</f>
        <v>　　年　月</v>
      </c>
      <c r="G226" s="1480"/>
      <c r="H226" s="1481"/>
      <c r="I226" s="596"/>
      <c r="J226" s="597"/>
      <c r="K226" s="598"/>
      <c r="L226" s="463"/>
      <c r="M226" s="593"/>
      <c r="N226" s="1234" t="str">
        <f t="shared" ref="N226:N229" si="13">IF($B$225="","",I226/L226)</f>
        <v/>
      </c>
      <c r="O226" s="1235"/>
      <c r="P226" s="1480" t="str">
        <f>IF($B225="","　　年　月",DATE(YEAR($I$27),MONTH($I$27)+7,DAY($I$27)))</f>
        <v>　　年　月</v>
      </c>
      <c r="Q226" s="1480"/>
      <c r="R226" s="1481"/>
      <c r="S226" s="596"/>
      <c r="T226" s="597"/>
      <c r="U226" s="598"/>
      <c r="V226" s="463"/>
      <c r="W226" s="593"/>
      <c r="X226" s="1234" t="str">
        <f t="shared" ref="X226:X230" si="14">IF($B$225="","",S226/V226)</f>
        <v/>
      </c>
      <c r="Y226" s="1235"/>
      <c r="Z226" s="1238"/>
      <c r="AA226" s="1239"/>
    </row>
    <row r="227" spans="2:27" ht="17.25" customHeight="1" thickTop="1" thickBot="1" x14ac:dyDescent="0.2">
      <c r="B227" s="615"/>
      <c r="C227" s="1240"/>
      <c r="D227" s="617"/>
      <c r="E227" s="179"/>
      <c r="F227" s="1479" t="str">
        <f>IF($B225="","　　年　月",DATE(YEAR($I$27),MONTH($I$27)+2,DAY($I$27)))</f>
        <v>　　年　月</v>
      </c>
      <c r="G227" s="1480"/>
      <c r="H227" s="1481"/>
      <c r="I227" s="596"/>
      <c r="J227" s="597"/>
      <c r="K227" s="598"/>
      <c r="L227" s="463"/>
      <c r="M227" s="593"/>
      <c r="N227" s="1234" t="str">
        <f t="shared" si="13"/>
        <v/>
      </c>
      <c r="O227" s="1235"/>
      <c r="P227" s="1480" t="str">
        <f>IF($B225="","　　年　月",DATE(YEAR($I$27),MONTH($I$27)+8,DAY($I$27)))</f>
        <v>　　年　月</v>
      </c>
      <c r="Q227" s="1480"/>
      <c r="R227" s="1481"/>
      <c r="S227" s="596"/>
      <c r="T227" s="597"/>
      <c r="U227" s="598"/>
      <c r="V227" s="463"/>
      <c r="W227" s="593"/>
      <c r="X227" s="1234" t="str">
        <f t="shared" si="14"/>
        <v/>
      </c>
      <c r="Y227" s="1235"/>
      <c r="Z227" s="1238"/>
      <c r="AA227" s="1239"/>
    </row>
    <row r="228" spans="2:27" ht="17.25" customHeight="1" thickTop="1" thickBot="1" x14ac:dyDescent="0.2">
      <c r="B228" s="615"/>
      <c r="C228" s="1240"/>
      <c r="D228" s="617"/>
      <c r="E228" s="179"/>
      <c r="F228" s="1479" t="str">
        <f>IF($B225="","　　年　月",DATE(YEAR($I$27),MONTH($I$27)+3,DAY($I$27)))</f>
        <v>　　年　月</v>
      </c>
      <c r="G228" s="1480"/>
      <c r="H228" s="1481"/>
      <c r="I228" s="596"/>
      <c r="J228" s="597"/>
      <c r="K228" s="598"/>
      <c r="L228" s="463"/>
      <c r="M228" s="593"/>
      <c r="N228" s="1234" t="str">
        <f t="shared" si="13"/>
        <v/>
      </c>
      <c r="O228" s="1235"/>
      <c r="P228" s="1480" t="str">
        <f>IF($B225="","　　年　月",DATE(YEAR($I$27),MONTH($I$27)+9,DAY($I$27)))</f>
        <v>　　年　月</v>
      </c>
      <c r="Q228" s="1480"/>
      <c r="R228" s="1481"/>
      <c r="S228" s="596"/>
      <c r="T228" s="597"/>
      <c r="U228" s="598"/>
      <c r="V228" s="463"/>
      <c r="W228" s="593"/>
      <c r="X228" s="1234" t="str">
        <f t="shared" si="14"/>
        <v/>
      </c>
      <c r="Y228" s="1235"/>
      <c r="Z228" s="1238"/>
      <c r="AA228" s="1239"/>
    </row>
    <row r="229" spans="2:27" ht="17.25" customHeight="1" thickTop="1" thickBot="1" x14ac:dyDescent="0.2">
      <c r="B229" s="615"/>
      <c r="C229" s="1240"/>
      <c r="D229" s="617"/>
      <c r="E229" s="179"/>
      <c r="F229" s="1479" t="str">
        <f>IF($B225="","　　年　月",DATE(YEAR($I$27),MONTH($I$27)+4,DAY($I$27)))</f>
        <v>　　年　月</v>
      </c>
      <c r="G229" s="1480"/>
      <c r="H229" s="1481"/>
      <c r="I229" s="596"/>
      <c r="J229" s="597"/>
      <c r="K229" s="598"/>
      <c r="L229" s="463"/>
      <c r="M229" s="593"/>
      <c r="N229" s="1234" t="str">
        <f t="shared" si="13"/>
        <v/>
      </c>
      <c r="O229" s="1235"/>
      <c r="P229" s="1480" t="str">
        <f>IF($B225="","　　年　月",DATE(YEAR($I$27),MONTH($I$27)+10,DAY($I$27)))</f>
        <v>　　年　月</v>
      </c>
      <c r="Q229" s="1480"/>
      <c r="R229" s="1481"/>
      <c r="S229" s="596"/>
      <c r="T229" s="597"/>
      <c r="U229" s="598"/>
      <c r="V229" s="463"/>
      <c r="W229" s="593"/>
      <c r="X229" s="1234" t="str">
        <f t="shared" si="14"/>
        <v/>
      </c>
      <c r="Y229" s="1235"/>
      <c r="Z229" s="1238"/>
      <c r="AA229" s="1239"/>
    </row>
    <row r="230" spans="2:27" ht="17.25" customHeight="1" thickTop="1" thickBot="1" x14ac:dyDescent="0.2">
      <c r="B230" s="618"/>
      <c r="C230" s="619"/>
      <c r="D230" s="620"/>
      <c r="E230" s="179"/>
      <c r="F230" s="1479" t="str">
        <f>IF($B225="","　　年　月",DATE(YEAR($I$27),MONTH($I$27)+5,DAY($I$27)))</f>
        <v>　　年　月</v>
      </c>
      <c r="G230" s="1480"/>
      <c r="H230" s="1481"/>
      <c r="I230" s="596"/>
      <c r="J230" s="597"/>
      <c r="K230" s="598"/>
      <c r="L230" s="463"/>
      <c r="M230" s="593"/>
      <c r="N230" s="1216" t="str">
        <f>IF($B$225="","",I230/L230)</f>
        <v/>
      </c>
      <c r="O230" s="1217"/>
      <c r="P230" s="1480" t="str">
        <f>IF($B225="","　　年　月",DATE(YEAR($I$27),MONTH($I$27)+11,DAY($I$27)))</f>
        <v>　　年　月</v>
      </c>
      <c r="Q230" s="1480"/>
      <c r="R230" s="1481"/>
      <c r="S230" s="596"/>
      <c r="T230" s="597"/>
      <c r="U230" s="598"/>
      <c r="V230" s="463"/>
      <c r="W230" s="593"/>
      <c r="X230" s="1216" t="str">
        <f t="shared" si="14"/>
        <v/>
      </c>
      <c r="Y230" s="1217"/>
      <c r="Z230" s="1238"/>
      <c r="AA230" s="1239"/>
    </row>
    <row r="231" spans="2:27" ht="17.25" customHeight="1" thickTop="1" thickBot="1" x14ac:dyDescent="0.2">
      <c r="B231" s="612"/>
      <c r="C231" s="613"/>
      <c r="D231" s="614"/>
      <c r="E231" s="179"/>
      <c r="F231" s="1479" t="str">
        <f>IF($B231="","　　年　月",DATE(YEAR($I$27),MONTH($I$27),DAY($I$27)))</f>
        <v>　　年　月</v>
      </c>
      <c r="G231" s="1480"/>
      <c r="H231" s="1481"/>
      <c r="I231" s="596"/>
      <c r="J231" s="597"/>
      <c r="K231" s="598"/>
      <c r="L231" s="463"/>
      <c r="M231" s="593"/>
      <c r="N231" s="1236" t="str">
        <f>IF($B$231="","",I231/L231)</f>
        <v/>
      </c>
      <c r="O231" s="1237"/>
      <c r="P231" s="1480" t="str">
        <f>IF($B231="","　　年　月",DATE(YEAR($I$27),MONTH($I$27)+6,DAY($I$27)))</f>
        <v>　　年　月</v>
      </c>
      <c r="Q231" s="1480"/>
      <c r="R231" s="1481"/>
      <c r="S231" s="596"/>
      <c r="T231" s="597"/>
      <c r="U231" s="598"/>
      <c r="V231" s="463"/>
      <c r="W231" s="593"/>
      <c r="X231" s="1236" t="str">
        <f>IF($B$231="","",S231/V231)</f>
        <v/>
      </c>
      <c r="Y231" s="1237"/>
      <c r="Z231" s="1238" t="str">
        <f>IF(B231="","",IF(COUNTIF(N231:O236,"&gt;=45")+COUNTIF(X231:Y236,"&gt;=45")&gt;0,"Ａ≧45　あり","全月　　Ａ＜45"))</f>
        <v/>
      </c>
      <c r="AA231" s="1239"/>
    </row>
    <row r="232" spans="2:27" ht="17.25" customHeight="1" thickTop="1" thickBot="1" x14ac:dyDescent="0.2">
      <c r="B232" s="615"/>
      <c r="C232" s="1240"/>
      <c r="D232" s="617"/>
      <c r="E232" s="179"/>
      <c r="F232" s="1479" t="str">
        <f>IF($B231="","　　年　月",DATE(YEAR($I$27),MONTH($I$27)+1,DAY($I$27)))</f>
        <v>　　年　月</v>
      </c>
      <c r="G232" s="1480"/>
      <c r="H232" s="1481"/>
      <c r="I232" s="596"/>
      <c r="J232" s="597"/>
      <c r="K232" s="598"/>
      <c r="L232" s="463"/>
      <c r="M232" s="593"/>
      <c r="N232" s="1234" t="str">
        <f t="shared" ref="N232:N235" si="15">IF($B$231="","",I232/L232)</f>
        <v/>
      </c>
      <c r="O232" s="1235"/>
      <c r="P232" s="1480" t="str">
        <f>IF($B231="","　　年　月",DATE(YEAR($I$27),MONTH($I$27)+7,DAY($I$27)))</f>
        <v>　　年　月</v>
      </c>
      <c r="Q232" s="1480"/>
      <c r="R232" s="1481"/>
      <c r="S232" s="596"/>
      <c r="T232" s="597"/>
      <c r="U232" s="598"/>
      <c r="V232" s="463"/>
      <c r="W232" s="593"/>
      <c r="X232" s="1234" t="str">
        <f t="shared" ref="X232:X235" si="16">IF($B$231="","",S232/V232)</f>
        <v/>
      </c>
      <c r="Y232" s="1235"/>
      <c r="Z232" s="1238"/>
      <c r="AA232" s="1239"/>
    </row>
    <row r="233" spans="2:27" ht="17.25" customHeight="1" thickTop="1" thickBot="1" x14ac:dyDescent="0.2">
      <c r="B233" s="615"/>
      <c r="C233" s="1240"/>
      <c r="D233" s="617"/>
      <c r="E233" s="179"/>
      <c r="F233" s="1479" t="str">
        <f>IF($B231="","　　年　月",DATE(YEAR($I$27),MONTH($I$27)+2,DAY($I$27)))</f>
        <v>　　年　月</v>
      </c>
      <c r="G233" s="1480"/>
      <c r="H233" s="1481"/>
      <c r="I233" s="596"/>
      <c r="J233" s="597"/>
      <c r="K233" s="598"/>
      <c r="L233" s="463"/>
      <c r="M233" s="593"/>
      <c r="N233" s="1234" t="str">
        <f t="shared" si="15"/>
        <v/>
      </c>
      <c r="O233" s="1235"/>
      <c r="P233" s="1480" t="str">
        <f>IF($B231="","　　年　月",DATE(YEAR($I$27),MONTH($I$27)+8,DAY($I$27)))</f>
        <v>　　年　月</v>
      </c>
      <c r="Q233" s="1480"/>
      <c r="R233" s="1481"/>
      <c r="S233" s="596"/>
      <c r="T233" s="597"/>
      <c r="U233" s="598"/>
      <c r="V233" s="463"/>
      <c r="W233" s="593"/>
      <c r="X233" s="1234" t="str">
        <f t="shared" si="16"/>
        <v/>
      </c>
      <c r="Y233" s="1235"/>
      <c r="Z233" s="1238"/>
      <c r="AA233" s="1239"/>
    </row>
    <row r="234" spans="2:27" ht="17.25" customHeight="1" thickTop="1" thickBot="1" x14ac:dyDescent="0.2">
      <c r="B234" s="615"/>
      <c r="C234" s="1240"/>
      <c r="D234" s="617"/>
      <c r="E234" s="179"/>
      <c r="F234" s="1479" t="str">
        <f>IF($B231="","　　年　月",DATE(YEAR($I$27),MONTH($I$27)+3,DAY($I$27)))</f>
        <v>　　年　月</v>
      </c>
      <c r="G234" s="1480"/>
      <c r="H234" s="1481"/>
      <c r="I234" s="596"/>
      <c r="J234" s="597"/>
      <c r="K234" s="598"/>
      <c r="L234" s="463"/>
      <c r="M234" s="593"/>
      <c r="N234" s="1234" t="str">
        <f t="shared" si="15"/>
        <v/>
      </c>
      <c r="O234" s="1235"/>
      <c r="P234" s="1480" t="str">
        <f>IF($B231="","　　年　月",DATE(YEAR($I$27),MONTH($I$27)+9,DAY($I$27)))</f>
        <v>　　年　月</v>
      </c>
      <c r="Q234" s="1480"/>
      <c r="R234" s="1481"/>
      <c r="S234" s="596"/>
      <c r="T234" s="597"/>
      <c r="U234" s="598"/>
      <c r="V234" s="463"/>
      <c r="W234" s="593"/>
      <c r="X234" s="1234" t="str">
        <f t="shared" si="16"/>
        <v/>
      </c>
      <c r="Y234" s="1235"/>
      <c r="Z234" s="1238"/>
      <c r="AA234" s="1239"/>
    </row>
    <row r="235" spans="2:27" ht="17.25" customHeight="1" thickTop="1" thickBot="1" x14ac:dyDescent="0.2">
      <c r="B235" s="615"/>
      <c r="C235" s="1240"/>
      <c r="D235" s="617"/>
      <c r="E235" s="179"/>
      <c r="F235" s="1479" t="str">
        <f>IF($B231="","　　年　月",DATE(YEAR($I$27),MONTH($I$27)+4,DAY($I$27)))</f>
        <v>　　年　月</v>
      </c>
      <c r="G235" s="1480"/>
      <c r="H235" s="1481"/>
      <c r="I235" s="596"/>
      <c r="J235" s="597"/>
      <c r="K235" s="598"/>
      <c r="L235" s="463"/>
      <c r="M235" s="593"/>
      <c r="N235" s="1234" t="str">
        <f t="shared" si="15"/>
        <v/>
      </c>
      <c r="O235" s="1235"/>
      <c r="P235" s="1480" t="str">
        <f>IF($B231="","　　年　月",DATE(YEAR($I$27),MONTH($I$27)+10,DAY($I$27)))</f>
        <v>　　年　月</v>
      </c>
      <c r="Q235" s="1480"/>
      <c r="R235" s="1481"/>
      <c r="S235" s="596"/>
      <c r="T235" s="597"/>
      <c r="U235" s="598"/>
      <c r="V235" s="463"/>
      <c r="W235" s="593"/>
      <c r="X235" s="1234" t="str">
        <f t="shared" si="16"/>
        <v/>
      </c>
      <c r="Y235" s="1235"/>
      <c r="Z235" s="1238"/>
      <c r="AA235" s="1239"/>
    </row>
    <row r="236" spans="2:27" ht="17.25" customHeight="1" thickTop="1" thickBot="1" x14ac:dyDescent="0.2">
      <c r="B236" s="618"/>
      <c r="C236" s="619"/>
      <c r="D236" s="620"/>
      <c r="E236" s="179"/>
      <c r="F236" s="1479" t="str">
        <f>IF($B231="","　　年　月",DATE(YEAR($I$27),MONTH($I$27)+5,DAY($I$27)))</f>
        <v>　　年　月</v>
      </c>
      <c r="G236" s="1480"/>
      <c r="H236" s="1481"/>
      <c r="I236" s="607"/>
      <c r="J236" s="608"/>
      <c r="K236" s="609"/>
      <c r="L236" s="610"/>
      <c r="M236" s="611"/>
      <c r="N236" s="1216" t="str">
        <f>IF($B$231="","",I236/L236)</f>
        <v/>
      </c>
      <c r="O236" s="1217"/>
      <c r="P236" s="1480" t="str">
        <f>IF($B231="","　　年　月",DATE(YEAR($I$27),MONTH($I$27)+11,DAY($I$27)))</f>
        <v>　　年　月</v>
      </c>
      <c r="Q236" s="1480"/>
      <c r="R236" s="1481"/>
      <c r="S236" s="607"/>
      <c r="T236" s="608"/>
      <c r="U236" s="609"/>
      <c r="V236" s="610"/>
      <c r="W236" s="611"/>
      <c r="X236" s="1216" t="str">
        <f>IF($B$231="","",S236/V236)</f>
        <v/>
      </c>
      <c r="Y236" s="1217"/>
      <c r="Z236" s="1227"/>
      <c r="AA236" s="1228"/>
    </row>
    <row r="237" spans="2:27" ht="27.75" customHeight="1" thickTop="1" thickBot="1" x14ac:dyDescent="0.2">
      <c r="F237" s="1204" t="s">
        <v>188</v>
      </c>
      <c r="G237" s="1205"/>
      <c r="H237" s="1205"/>
      <c r="I237" s="1205"/>
      <c r="J237" s="1205"/>
      <c r="K237" s="1205"/>
      <c r="L237" s="1205"/>
      <c r="M237" s="1205"/>
      <c r="N237" s="1205"/>
      <c r="O237" s="1205"/>
      <c r="P237" s="1205"/>
      <c r="Q237" s="1205"/>
      <c r="R237" s="1205"/>
      <c r="S237" s="1205"/>
      <c r="T237" s="1205"/>
      <c r="U237" s="1205"/>
      <c r="V237" s="1205"/>
      <c r="W237" s="1206"/>
      <c r="X237" s="603" t="s">
        <v>269</v>
      </c>
      <c r="Y237" s="604"/>
      <c r="Z237" s="604"/>
      <c r="AA237" s="605"/>
    </row>
    <row r="238" spans="2:27" ht="17.25" customHeight="1" thickTop="1" x14ac:dyDescent="0.15">
      <c r="AA238" s="165" t="str">
        <f>IF(G23="","",IF(X237="","リストから選択↑　",""))</f>
        <v/>
      </c>
    </row>
    <row r="239" spans="2:27" ht="16.5" customHeight="1" x14ac:dyDescent="0.15">
      <c r="B239" s="1078" t="s">
        <v>67</v>
      </c>
      <c r="C239" s="1078"/>
      <c r="D239" s="1078"/>
      <c r="E239" s="1078"/>
      <c r="F239" s="1078"/>
      <c r="G239" s="1078"/>
      <c r="H239" s="1078"/>
      <c r="I239" s="1078"/>
      <c r="J239" s="1078"/>
      <c r="K239" s="1078"/>
      <c r="L239" s="1078"/>
      <c r="M239" s="1078"/>
      <c r="N239" s="1078"/>
      <c r="O239" s="1078"/>
      <c r="P239" s="1078"/>
      <c r="Q239" s="1078"/>
      <c r="R239" s="1078"/>
      <c r="S239" s="1078"/>
      <c r="T239" s="1078"/>
      <c r="U239" s="1078"/>
      <c r="V239" s="1078"/>
      <c r="W239" s="1078"/>
      <c r="X239" s="1078"/>
      <c r="Y239" s="1078"/>
      <c r="Z239" s="1078"/>
      <c r="AA239" s="1078"/>
    </row>
    <row r="240" spans="2:27" ht="17.25" customHeight="1" x14ac:dyDescent="0.15"/>
    <row r="241" spans="2:27" ht="17.25" customHeight="1" x14ac:dyDescent="0.15">
      <c r="B241" s="171" t="s">
        <v>159</v>
      </c>
      <c r="AA241" s="212" t="str">
        <f>IF(G$23="","",G$23)</f>
        <v>株式会社参画企画</v>
      </c>
    </row>
    <row r="242" spans="2:27" ht="17.25" customHeight="1" x14ac:dyDescent="0.15"/>
    <row r="243" spans="2:27" ht="17.25" customHeight="1" x14ac:dyDescent="0.15">
      <c r="B243" s="253" t="s">
        <v>23</v>
      </c>
      <c r="Q243" s="233"/>
    </row>
    <row r="244" spans="2:27" ht="17.25" customHeight="1" thickBot="1" x14ac:dyDescent="0.2">
      <c r="C244" s="172" t="s">
        <v>72</v>
      </c>
    </row>
    <row r="245" spans="2:27" s="172" customFormat="1" ht="54" customHeight="1" thickTop="1" thickBot="1" x14ac:dyDescent="0.2">
      <c r="B245" s="1088" t="s">
        <v>0</v>
      </c>
      <c r="C245" s="1089"/>
      <c r="D245" s="1090"/>
      <c r="E245" s="233"/>
      <c r="F245" s="1088" t="s">
        <v>19</v>
      </c>
      <c r="G245" s="1089"/>
      <c r="H245" s="1090"/>
      <c r="I245" s="1086" t="s">
        <v>21</v>
      </c>
      <c r="J245" s="1086"/>
      <c r="K245" s="1087"/>
      <c r="L245" s="1085" t="s">
        <v>20</v>
      </c>
      <c r="M245" s="1089"/>
      <c r="N245" s="1227" t="s">
        <v>45</v>
      </c>
      <c r="O245" s="1233"/>
      <c r="P245" s="1089" t="s">
        <v>19</v>
      </c>
      <c r="Q245" s="1089"/>
      <c r="R245" s="1090"/>
      <c r="S245" s="1086" t="s">
        <v>21</v>
      </c>
      <c r="T245" s="1086"/>
      <c r="U245" s="1087"/>
      <c r="V245" s="1085" t="s">
        <v>20</v>
      </c>
      <c r="W245" s="1089"/>
      <c r="X245" s="1227" t="s">
        <v>45</v>
      </c>
      <c r="Y245" s="1233"/>
      <c r="Z245" s="1105" t="s">
        <v>198</v>
      </c>
      <c r="AA245" s="1106"/>
    </row>
    <row r="246" spans="2:27" ht="17.25" customHeight="1" thickTop="1" x14ac:dyDescent="0.15">
      <c r="B246" s="553"/>
      <c r="C246" s="554"/>
      <c r="D246" s="555"/>
      <c r="E246" s="237"/>
      <c r="F246" s="1479" t="str">
        <f>IF($B246="","　　年　月",DATE(YEAR($I$27),MONTH($I$27),DAY($I$27)))</f>
        <v>　　年　月</v>
      </c>
      <c r="G246" s="1480"/>
      <c r="H246" s="1481"/>
      <c r="I246" s="577"/>
      <c r="J246" s="577"/>
      <c r="K246" s="578"/>
      <c r="L246" s="318"/>
      <c r="M246" s="550"/>
      <c r="N246" s="1225" t="str">
        <f t="shared" ref="N246:N251" si="17">IF($B$246="","",(I246-40*DAY(EOMONTH(DATE(YEAR($X$27),MONTH($X$27),DAY($X$27)),0))/7*L246)/L246)</f>
        <v/>
      </c>
      <c r="O246" s="1226"/>
      <c r="P246" s="1480" t="str">
        <f>IF($B246="","　　年　月",DATE(YEAR($I$27),MONTH($I$27)+6,DAY($I$27)))</f>
        <v>　　年　月</v>
      </c>
      <c r="Q246" s="1480"/>
      <c r="R246" s="1481"/>
      <c r="S246" s="577"/>
      <c r="T246" s="577"/>
      <c r="U246" s="578"/>
      <c r="V246" s="318"/>
      <c r="W246" s="550"/>
      <c r="X246" s="1225" t="str">
        <f t="shared" ref="X246:X251" si="18">IF($B$246="","",(S246-40*DAY(EOMONTH(DATE(YEAR($X$27),MONTH($X$27)+6,DAY($X$27)),0))/7*V246)/V246)</f>
        <v/>
      </c>
      <c r="Y246" s="1226"/>
      <c r="Z246" s="1231" t="str">
        <f>IF(B246="","",IF(COUNTIF(N246:O251,"&gt;=45")+COUNTIF(X246:Y251,"&gt;=45")&gt;0,"A'≧45　あり","全月　　A'＜45"))</f>
        <v/>
      </c>
      <c r="AA246" s="1232"/>
    </row>
    <row r="247" spans="2:27" ht="17.25" customHeight="1" x14ac:dyDescent="0.15">
      <c r="B247" s="564"/>
      <c r="C247" s="1068"/>
      <c r="D247" s="565"/>
      <c r="E247" s="237"/>
      <c r="F247" s="1479" t="str">
        <f>IF($B246="","　　年　月",DATE(YEAR($I$27),MONTH($I$27)+1,DAY($I$27)))</f>
        <v>　　年　月</v>
      </c>
      <c r="G247" s="1480"/>
      <c r="H247" s="1481"/>
      <c r="I247" s="551"/>
      <c r="J247" s="551"/>
      <c r="K247" s="552"/>
      <c r="L247" s="318"/>
      <c r="M247" s="550"/>
      <c r="N247" s="1209" t="str">
        <f t="shared" si="17"/>
        <v/>
      </c>
      <c r="O247" s="1210"/>
      <c r="P247" s="1480" t="str">
        <f>IF($B246="","　　年　月",DATE(YEAR($I$27),MONTH($I$27)+7,DAY($I$27)))</f>
        <v>　　年　月</v>
      </c>
      <c r="Q247" s="1480"/>
      <c r="R247" s="1481"/>
      <c r="S247" s="551"/>
      <c r="T247" s="551"/>
      <c r="U247" s="552"/>
      <c r="V247" s="318"/>
      <c r="W247" s="550"/>
      <c r="X247" s="1209" t="str">
        <f t="shared" si="18"/>
        <v/>
      </c>
      <c r="Y247" s="1210"/>
      <c r="Z247" s="1221"/>
      <c r="AA247" s="1222"/>
    </row>
    <row r="248" spans="2:27" ht="17.25" customHeight="1" x14ac:dyDescent="0.15">
      <c r="B248" s="564"/>
      <c r="C248" s="1068"/>
      <c r="D248" s="565"/>
      <c r="E248" s="237"/>
      <c r="F248" s="1479" t="str">
        <f>IF($B246="","　　年　月",DATE(YEAR($I$27),MONTH($I$27)+2,DAY($I$27)))</f>
        <v>　　年　月</v>
      </c>
      <c r="G248" s="1480"/>
      <c r="H248" s="1481"/>
      <c r="I248" s="551"/>
      <c r="J248" s="551"/>
      <c r="K248" s="552"/>
      <c r="L248" s="318"/>
      <c r="M248" s="550"/>
      <c r="N248" s="1209" t="str">
        <f t="shared" si="17"/>
        <v/>
      </c>
      <c r="O248" s="1210"/>
      <c r="P248" s="1480" t="str">
        <f>IF($B246="","　　年　月",DATE(YEAR($I$27),MONTH($I$27)+8,DAY($I$27)))</f>
        <v>　　年　月</v>
      </c>
      <c r="Q248" s="1480"/>
      <c r="R248" s="1481"/>
      <c r="S248" s="551"/>
      <c r="T248" s="551"/>
      <c r="U248" s="552"/>
      <c r="V248" s="318"/>
      <c r="W248" s="550"/>
      <c r="X248" s="1209" t="str">
        <f t="shared" si="18"/>
        <v/>
      </c>
      <c r="Y248" s="1210"/>
      <c r="Z248" s="1221"/>
      <c r="AA248" s="1222"/>
    </row>
    <row r="249" spans="2:27" ht="17.25" customHeight="1" x14ac:dyDescent="0.15">
      <c r="B249" s="564"/>
      <c r="C249" s="1068"/>
      <c r="D249" s="565"/>
      <c r="E249" s="237"/>
      <c r="F249" s="1479" t="str">
        <f>IF($B246="","　　年　月",DATE(YEAR($I$27),MONTH($I$27)+3,DAY($I$27)))</f>
        <v>　　年　月</v>
      </c>
      <c r="G249" s="1480"/>
      <c r="H249" s="1481"/>
      <c r="I249" s="551"/>
      <c r="J249" s="551"/>
      <c r="K249" s="552"/>
      <c r="L249" s="318"/>
      <c r="M249" s="550"/>
      <c r="N249" s="1209" t="str">
        <f t="shared" si="17"/>
        <v/>
      </c>
      <c r="O249" s="1210"/>
      <c r="P249" s="1480" t="str">
        <f>IF($B246="","　　年　月",DATE(YEAR($I$27),MONTH($I$27)+9,DAY($I$27)))</f>
        <v>　　年　月</v>
      </c>
      <c r="Q249" s="1480"/>
      <c r="R249" s="1481"/>
      <c r="S249" s="551"/>
      <c r="T249" s="551"/>
      <c r="U249" s="552"/>
      <c r="V249" s="318"/>
      <c r="W249" s="550"/>
      <c r="X249" s="1209" t="str">
        <f t="shared" si="18"/>
        <v/>
      </c>
      <c r="Y249" s="1210"/>
      <c r="Z249" s="1221"/>
      <c r="AA249" s="1222"/>
    </row>
    <row r="250" spans="2:27" ht="17.25" customHeight="1" x14ac:dyDescent="0.15">
      <c r="B250" s="564"/>
      <c r="C250" s="1068"/>
      <c r="D250" s="565"/>
      <c r="E250" s="237"/>
      <c r="F250" s="1479" t="str">
        <f>IF($B246="","　　年　月",DATE(YEAR($I$27),MONTH($I$27)+4,DAY($I$27)))</f>
        <v>　　年　月</v>
      </c>
      <c r="G250" s="1480"/>
      <c r="H250" s="1481"/>
      <c r="I250" s="551"/>
      <c r="J250" s="551"/>
      <c r="K250" s="552"/>
      <c r="L250" s="318"/>
      <c r="M250" s="550"/>
      <c r="N250" s="1209" t="str">
        <f t="shared" si="17"/>
        <v/>
      </c>
      <c r="O250" s="1210"/>
      <c r="P250" s="1480" t="str">
        <f>IF($B246="","　　年　月",DATE(YEAR($I$27),MONTH($I$27)+10,DAY($I$27)))</f>
        <v>　　年　月</v>
      </c>
      <c r="Q250" s="1480"/>
      <c r="R250" s="1481"/>
      <c r="S250" s="551"/>
      <c r="T250" s="551"/>
      <c r="U250" s="552"/>
      <c r="V250" s="318"/>
      <c r="W250" s="550"/>
      <c r="X250" s="1209" t="str">
        <f t="shared" si="18"/>
        <v/>
      </c>
      <c r="Y250" s="1210"/>
      <c r="Z250" s="1221"/>
      <c r="AA250" s="1222"/>
    </row>
    <row r="251" spans="2:27" ht="17.25" customHeight="1" thickBot="1" x14ac:dyDescent="0.2">
      <c r="B251" s="566"/>
      <c r="C251" s="567"/>
      <c r="D251" s="568"/>
      <c r="E251" s="237"/>
      <c r="F251" s="1479" t="str">
        <f>IF($B246="","　　年　月",DATE(YEAR($I$27),MONTH($I$27)+5,DAY($I$27)))</f>
        <v>　　年　月</v>
      </c>
      <c r="G251" s="1480"/>
      <c r="H251" s="1481"/>
      <c r="I251" s="551"/>
      <c r="J251" s="551"/>
      <c r="K251" s="552"/>
      <c r="L251" s="318"/>
      <c r="M251" s="550"/>
      <c r="N251" s="1214" t="str">
        <f t="shared" si="17"/>
        <v/>
      </c>
      <c r="O251" s="1215"/>
      <c r="P251" s="1480" t="str">
        <f>IF($B246="","　　年　月",DATE(YEAR($I$27),MONTH($I$27)+11,DAY($I$27)))</f>
        <v>　　年　月</v>
      </c>
      <c r="Q251" s="1480"/>
      <c r="R251" s="1481"/>
      <c r="S251" s="551"/>
      <c r="T251" s="551"/>
      <c r="U251" s="552"/>
      <c r="V251" s="318"/>
      <c r="W251" s="550"/>
      <c r="X251" s="1223" t="str">
        <f t="shared" si="18"/>
        <v/>
      </c>
      <c r="Y251" s="1224"/>
      <c r="Z251" s="1221"/>
      <c r="AA251" s="1222"/>
    </row>
    <row r="252" spans="2:27" ht="17.25" customHeight="1" thickTop="1" x14ac:dyDescent="0.15">
      <c r="B252" s="564"/>
      <c r="C252" s="1068"/>
      <c r="D252" s="565"/>
      <c r="E252" s="237"/>
      <c r="F252" s="1479" t="str">
        <f>IF($B252="","　　年　月",DATE(YEAR($I$27),MONTH($I$27),DAY($I$27)))</f>
        <v>　　年　月</v>
      </c>
      <c r="G252" s="1480"/>
      <c r="H252" s="1481"/>
      <c r="I252" s="1218"/>
      <c r="J252" s="1218"/>
      <c r="K252" s="570"/>
      <c r="L252" s="571"/>
      <c r="M252" s="572"/>
      <c r="N252" s="1225" t="str">
        <f t="shared" ref="N252:N257" si="19">IF($B$252="","",(I252-40*DAY(EOMONTH(DATE(YEAR($X$27),MONTH($X$27),DAY($X$27)),0))/7*L252)/L252)</f>
        <v/>
      </c>
      <c r="O252" s="1226"/>
      <c r="P252" s="1480" t="str">
        <f>IF($B252="","　　年　月",DATE(YEAR($I$27),MONTH($I$27)+6,DAY($I$27)))</f>
        <v>　　年　月</v>
      </c>
      <c r="Q252" s="1480"/>
      <c r="R252" s="1481"/>
      <c r="S252" s="1218"/>
      <c r="T252" s="1218"/>
      <c r="U252" s="570"/>
      <c r="V252" s="571"/>
      <c r="W252" s="572"/>
      <c r="X252" s="1225" t="str">
        <f t="shared" ref="X252:X257" si="20">IF($B$252="","",(S252-40*DAY(EOMONTH(DATE(YEAR($X$27),MONTH($X$27)+6,DAY($X$27)),0))/7*V252)/V252)</f>
        <v/>
      </c>
      <c r="Y252" s="1226"/>
      <c r="Z252" s="1227" t="str">
        <f>IF(B252="","",IF(COUNTIF(N252:O257,"&gt;=45")+COUNTIF(X252:Y257,"&gt;=45")&gt;0,"A'≧45　あり","全月　　A'＜45"))</f>
        <v/>
      </c>
      <c r="AA252" s="1228"/>
    </row>
    <row r="253" spans="2:27" ht="17.25" customHeight="1" x14ac:dyDescent="0.15">
      <c r="B253" s="564"/>
      <c r="C253" s="1068"/>
      <c r="D253" s="565"/>
      <c r="E253" s="237"/>
      <c r="F253" s="1479" t="str">
        <f>IF($B252="","　　年　月",DATE(YEAR($I$27),MONTH($I$27)+1,DAY($I$27)))</f>
        <v>　　年　月</v>
      </c>
      <c r="G253" s="1480"/>
      <c r="H253" s="1481"/>
      <c r="I253" s="551"/>
      <c r="J253" s="551"/>
      <c r="K253" s="552"/>
      <c r="L253" s="318"/>
      <c r="M253" s="550"/>
      <c r="N253" s="1209" t="str">
        <f t="shared" si="19"/>
        <v/>
      </c>
      <c r="O253" s="1210"/>
      <c r="P253" s="1480" t="str">
        <f>IF($B252="","　　年　月",DATE(YEAR($I$27),MONTH($I$27)+7,DAY($I$27)))</f>
        <v>　　年　月</v>
      </c>
      <c r="Q253" s="1480"/>
      <c r="R253" s="1481"/>
      <c r="S253" s="551"/>
      <c r="T253" s="551"/>
      <c r="U253" s="552"/>
      <c r="V253" s="318"/>
      <c r="W253" s="550"/>
      <c r="X253" s="1209" t="str">
        <f t="shared" si="20"/>
        <v/>
      </c>
      <c r="Y253" s="1210"/>
      <c r="Z253" s="1221"/>
      <c r="AA253" s="1222"/>
    </row>
    <row r="254" spans="2:27" ht="17.25" customHeight="1" x14ac:dyDescent="0.15">
      <c r="B254" s="564"/>
      <c r="C254" s="1068"/>
      <c r="D254" s="565"/>
      <c r="E254" s="237"/>
      <c r="F254" s="1479" t="str">
        <f>IF($B252="","　　年　月",DATE(YEAR($I$27),MONTH($I$27)+2,DAY($I$27)))</f>
        <v>　　年　月</v>
      </c>
      <c r="G254" s="1480"/>
      <c r="H254" s="1481"/>
      <c r="I254" s="551"/>
      <c r="J254" s="551"/>
      <c r="K254" s="552"/>
      <c r="L254" s="318"/>
      <c r="M254" s="550"/>
      <c r="N254" s="1209" t="str">
        <f t="shared" si="19"/>
        <v/>
      </c>
      <c r="O254" s="1210"/>
      <c r="P254" s="1480" t="str">
        <f>IF($B252="","　　年　月",DATE(YEAR($I$27),MONTH($I$27)+8,DAY($I$27)))</f>
        <v>　　年　月</v>
      </c>
      <c r="Q254" s="1480"/>
      <c r="R254" s="1481"/>
      <c r="S254" s="551"/>
      <c r="T254" s="551"/>
      <c r="U254" s="552"/>
      <c r="V254" s="318"/>
      <c r="W254" s="550"/>
      <c r="X254" s="1209" t="str">
        <f t="shared" si="20"/>
        <v/>
      </c>
      <c r="Y254" s="1210"/>
      <c r="Z254" s="1221"/>
      <c r="AA254" s="1222"/>
    </row>
    <row r="255" spans="2:27" ht="17.25" customHeight="1" x14ac:dyDescent="0.15">
      <c r="B255" s="564"/>
      <c r="C255" s="1068"/>
      <c r="D255" s="565"/>
      <c r="E255" s="237"/>
      <c r="F255" s="1479" t="str">
        <f>IF($B252="","　　年　月",DATE(YEAR($I$27),MONTH($I$27)+3,DAY($I$27)))</f>
        <v>　　年　月</v>
      </c>
      <c r="G255" s="1480"/>
      <c r="H255" s="1481"/>
      <c r="I255" s="551"/>
      <c r="J255" s="551"/>
      <c r="K255" s="552"/>
      <c r="L255" s="318"/>
      <c r="M255" s="550"/>
      <c r="N255" s="1209" t="str">
        <f t="shared" si="19"/>
        <v/>
      </c>
      <c r="O255" s="1210"/>
      <c r="P255" s="1480" t="str">
        <f>IF($B252="","　　年　月",DATE(YEAR($I$27),MONTH($I$27)+9,DAY($I$27)))</f>
        <v>　　年　月</v>
      </c>
      <c r="Q255" s="1480"/>
      <c r="R255" s="1481"/>
      <c r="S255" s="551"/>
      <c r="T255" s="551"/>
      <c r="U255" s="552"/>
      <c r="V255" s="318"/>
      <c r="W255" s="550"/>
      <c r="X255" s="1209" t="str">
        <f t="shared" si="20"/>
        <v/>
      </c>
      <c r="Y255" s="1210"/>
      <c r="Z255" s="1221"/>
      <c r="AA255" s="1222"/>
    </row>
    <row r="256" spans="2:27" ht="17.25" customHeight="1" x14ac:dyDescent="0.15">
      <c r="B256" s="564"/>
      <c r="C256" s="1068"/>
      <c r="D256" s="565"/>
      <c r="E256" s="237"/>
      <c r="F256" s="1479" t="str">
        <f>IF($B252="","　　年　月",DATE(YEAR($I$27),MONTH($I$27)+4,DAY($I$27)))</f>
        <v>　　年　月</v>
      </c>
      <c r="G256" s="1480"/>
      <c r="H256" s="1481"/>
      <c r="I256" s="551"/>
      <c r="J256" s="551"/>
      <c r="K256" s="552"/>
      <c r="L256" s="318"/>
      <c r="M256" s="550"/>
      <c r="N256" s="1209" t="str">
        <f t="shared" si="19"/>
        <v/>
      </c>
      <c r="O256" s="1210"/>
      <c r="P256" s="1480" t="str">
        <f>IF($B252="","　　年　月",DATE(YEAR($I$27),MONTH($I$27)+10,DAY($I$27)))</f>
        <v>　　年　月</v>
      </c>
      <c r="Q256" s="1480"/>
      <c r="R256" s="1481"/>
      <c r="S256" s="551"/>
      <c r="T256" s="551"/>
      <c r="U256" s="552"/>
      <c r="V256" s="318"/>
      <c r="W256" s="550"/>
      <c r="X256" s="1209" t="str">
        <f t="shared" si="20"/>
        <v/>
      </c>
      <c r="Y256" s="1210"/>
      <c r="Z256" s="1221"/>
      <c r="AA256" s="1222"/>
    </row>
    <row r="257" spans="2:27" ht="17.25" customHeight="1" thickBot="1" x14ac:dyDescent="0.2">
      <c r="B257" s="566"/>
      <c r="C257" s="567"/>
      <c r="D257" s="568"/>
      <c r="E257" s="237"/>
      <c r="F257" s="1479" t="str">
        <f>IF($B252="","　　年　月",DATE(YEAR($I$27),MONTH($I$27)+5,DAY($I$27)))</f>
        <v>　　年　月</v>
      </c>
      <c r="G257" s="1480"/>
      <c r="H257" s="1481"/>
      <c r="I257" s="551"/>
      <c r="J257" s="551"/>
      <c r="K257" s="552"/>
      <c r="L257" s="318"/>
      <c r="M257" s="550"/>
      <c r="N257" s="1223" t="str">
        <f t="shared" si="19"/>
        <v/>
      </c>
      <c r="O257" s="1224"/>
      <c r="P257" s="1480" t="str">
        <f>IF($B252="","　　年　月",DATE(YEAR($I$27),MONTH($I$27)+11,DAY($I$27)))</f>
        <v>　　年　月</v>
      </c>
      <c r="Q257" s="1480"/>
      <c r="R257" s="1481"/>
      <c r="S257" s="551"/>
      <c r="T257" s="551"/>
      <c r="U257" s="552"/>
      <c r="V257" s="318"/>
      <c r="W257" s="550"/>
      <c r="X257" s="1223" t="str">
        <f t="shared" si="20"/>
        <v/>
      </c>
      <c r="Y257" s="1224"/>
      <c r="Z257" s="1229"/>
      <c r="AA257" s="1230"/>
    </row>
    <row r="258" spans="2:27" ht="17.25" customHeight="1" thickTop="1" x14ac:dyDescent="0.15">
      <c r="B258" s="564"/>
      <c r="C258" s="1068"/>
      <c r="D258" s="565"/>
      <c r="E258" s="237"/>
      <c r="F258" s="1479" t="str">
        <f>IF($B258="","　　年　月",DATE(YEAR($I$27),MONTH($I$27),DAY($I$27)))</f>
        <v>　　年　月</v>
      </c>
      <c r="G258" s="1480"/>
      <c r="H258" s="1481"/>
      <c r="I258" s="1218"/>
      <c r="J258" s="1218"/>
      <c r="K258" s="570"/>
      <c r="L258" s="571"/>
      <c r="M258" s="572"/>
      <c r="N258" s="1219" t="str">
        <f t="shared" ref="N258:N263" si="21">IF($B$258="","",(I258-40*DAY(EOMONTH(DATE(YEAR($X$27),MONTH($X$27),DAY($X$27)),0))/7*L258)/L258)</f>
        <v/>
      </c>
      <c r="O258" s="1220"/>
      <c r="P258" s="1480" t="str">
        <f>IF($B258="","　　年　月",DATE(YEAR($I$27),MONTH($I$27)+6,DAY($I$27)))</f>
        <v>　　年　月</v>
      </c>
      <c r="Q258" s="1480"/>
      <c r="R258" s="1481"/>
      <c r="S258" s="1218"/>
      <c r="T258" s="1218"/>
      <c r="U258" s="570"/>
      <c r="V258" s="571"/>
      <c r="W258" s="572"/>
      <c r="X258" s="1219" t="str">
        <f t="shared" ref="X258:X263" si="22">IF($B$258="","",(S258-40*DAY(EOMONTH(DATE(YEAR($X$27),MONTH($X$27)+6,DAY($X$27)),0))/7*V258)/V258)</f>
        <v/>
      </c>
      <c r="Y258" s="1220"/>
      <c r="Z258" s="1221" t="str">
        <f>IF(B258="","",IF(COUNTIF(N258:O263,"&gt;=45")+COUNTIF(X258:Y263,"&gt;=45")&gt;0,"A'≧45　あり","全月　　A'＜45"))</f>
        <v/>
      </c>
      <c r="AA258" s="1222"/>
    </row>
    <row r="259" spans="2:27" ht="17.25" customHeight="1" x14ac:dyDescent="0.15">
      <c r="B259" s="564"/>
      <c r="C259" s="1068"/>
      <c r="D259" s="565"/>
      <c r="E259" s="237"/>
      <c r="F259" s="1479" t="str">
        <f>IF($B258="","　　年　月",DATE(YEAR($I$27),MONTH($I$27)+1,DAY($I$27)))</f>
        <v>　　年　月</v>
      </c>
      <c r="G259" s="1480"/>
      <c r="H259" s="1481"/>
      <c r="I259" s="551"/>
      <c r="J259" s="551"/>
      <c r="K259" s="552"/>
      <c r="L259" s="318"/>
      <c r="M259" s="550"/>
      <c r="N259" s="1209" t="str">
        <f t="shared" si="21"/>
        <v/>
      </c>
      <c r="O259" s="1210"/>
      <c r="P259" s="1480" t="str">
        <f>IF($B258="","　　年　月",DATE(YEAR($I$27),MONTH($I$27)+7,DAY($I$27)))</f>
        <v>　　年　月</v>
      </c>
      <c r="Q259" s="1480"/>
      <c r="R259" s="1481"/>
      <c r="S259" s="551"/>
      <c r="T259" s="551"/>
      <c r="U259" s="552"/>
      <c r="V259" s="318"/>
      <c r="W259" s="550"/>
      <c r="X259" s="1209" t="str">
        <f t="shared" si="22"/>
        <v/>
      </c>
      <c r="Y259" s="1210"/>
      <c r="Z259" s="1221"/>
      <c r="AA259" s="1222"/>
    </row>
    <row r="260" spans="2:27" ht="17.25" customHeight="1" x14ac:dyDescent="0.15">
      <c r="B260" s="564"/>
      <c r="C260" s="1068"/>
      <c r="D260" s="565"/>
      <c r="E260" s="237"/>
      <c r="F260" s="1479" t="str">
        <f>IF($B258="","　　年　月",DATE(YEAR($I$27),MONTH($I$27)+2,DAY($I$27)))</f>
        <v>　　年　月</v>
      </c>
      <c r="G260" s="1480"/>
      <c r="H260" s="1481"/>
      <c r="I260" s="551"/>
      <c r="J260" s="551"/>
      <c r="K260" s="552"/>
      <c r="L260" s="318"/>
      <c r="M260" s="550"/>
      <c r="N260" s="1209" t="str">
        <f t="shared" si="21"/>
        <v/>
      </c>
      <c r="O260" s="1210"/>
      <c r="P260" s="1480" t="str">
        <f>IF($B258="","　　年　月",DATE(YEAR($I$27),MONTH($I$27)+8,DAY($I$27)))</f>
        <v>　　年　月</v>
      </c>
      <c r="Q260" s="1480"/>
      <c r="R260" s="1481"/>
      <c r="S260" s="551"/>
      <c r="T260" s="551"/>
      <c r="U260" s="552"/>
      <c r="V260" s="318"/>
      <c r="W260" s="550"/>
      <c r="X260" s="1209" t="str">
        <f t="shared" si="22"/>
        <v/>
      </c>
      <c r="Y260" s="1210"/>
      <c r="Z260" s="1221"/>
      <c r="AA260" s="1222"/>
    </row>
    <row r="261" spans="2:27" ht="17.25" customHeight="1" x14ac:dyDescent="0.15">
      <c r="B261" s="564"/>
      <c r="C261" s="1068"/>
      <c r="D261" s="565"/>
      <c r="E261" s="237"/>
      <c r="F261" s="1479" t="str">
        <f>IF($B258="","　　年　月",DATE(YEAR($I$27),MONTH($I$27)+3,DAY($I$27)))</f>
        <v>　　年　月</v>
      </c>
      <c r="G261" s="1480"/>
      <c r="H261" s="1481"/>
      <c r="I261" s="551"/>
      <c r="J261" s="551"/>
      <c r="K261" s="552"/>
      <c r="L261" s="318"/>
      <c r="M261" s="550"/>
      <c r="N261" s="1209" t="str">
        <f t="shared" si="21"/>
        <v/>
      </c>
      <c r="O261" s="1210"/>
      <c r="P261" s="1480" t="str">
        <f>IF($B258="","　　年　月",DATE(YEAR($I$27),MONTH($I$27)+9,DAY($I$27)))</f>
        <v>　　年　月</v>
      </c>
      <c r="Q261" s="1480"/>
      <c r="R261" s="1481"/>
      <c r="S261" s="551"/>
      <c r="T261" s="551"/>
      <c r="U261" s="552"/>
      <c r="V261" s="318"/>
      <c r="W261" s="550"/>
      <c r="X261" s="1209" t="str">
        <f t="shared" si="22"/>
        <v/>
      </c>
      <c r="Y261" s="1210"/>
      <c r="Z261" s="1221"/>
      <c r="AA261" s="1222"/>
    </row>
    <row r="262" spans="2:27" ht="17.25" customHeight="1" x14ac:dyDescent="0.15">
      <c r="B262" s="564"/>
      <c r="C262" s="1068"/>
      <c r="D262" s="565"/>
      <c r="E262" s="237"/>
      <c r="F262" s="1479" t="str">
        <f>IF($B258="","　　年　月",DATE(YEAR($I$27),MONTH($I$27)+4,DAY($I$27)))</f>
        <v>　　年　月</v>
      </c>
      <c r="G262" s="1480"/>
      <c r="H262" s="1481"/>
      <c r="I262" s="551"/>
      <c r="J262" s="551"/>
      <c r="K262" s="552"/>
      <c r="L262" s="318"/>
      <c r="M262" s="550"/>
      <c r="N262" s="1209" t="str">
        <f t="shared" si="21"/>
        <v/>
      </c>
      <c r="O262" s="1210"/>
      <c r="P262" s="1480" t="str">
        <f>IF($B258="","　　年　月",DATE(YEAR($I$27),MONTH($I$27)+10,DAY($I$27)))</f>
        <v>　　年　月</v>
      </c>
      <c r="Q262" s="1480"/>
      <c r="R262" s="1481"/>
      <c r="S262" s="551"/>
      <c r="T262" s="551"/>
      <c r="U262" s="552"/>
      <c r="V262" s="318"/>
      <c r="W262" s="550"/>
      <c r="X262" s="1209" t="str">
        <f t="shared" si="22"/>
        <v/>
      </c>
      <c r="Y262" s="1210"/>
      <c r="Z262" s="1221"/>
      <c r="AA262" s="1222"/>
    </row>
    <row r="263" spans="2:27" ht="17.25" customHeight="1" thickBot="1" x14ac:dyDescent="0.2">
      <c r="B263" s="566"/>
      <c r="C263" s="567"/>
      <c r="D263" s="568"/>
      <c r="E263" s="237"/>
      <c r="F263" s="1479" t="str">
        <f>IF($B258="","　　年　月",DATE(YEAR($I$27),MONTH($I$27)+5,DAY($I$27)))</f>
        <v>　　年　月</v>
      </c>
      <c r="G263" s="1480"/>
      <c r="H263" s="1481"/>
      <c r="I263" s="577"/>
      <c r="J263" s="577"/>
      <c r="K263" s="578"/>
      <c r="L263" s="579"/>
      <c r="M263" s="580"/>
      <c r="N263" s="1214" t="str">
        <f t="shared" si="21"/>
        <v/>
      </c>
      <c r="O263" s="1215"/>
      <c r="P263" s="1480" t="str">
        <f>IF($B258="","　　年　月",DATE(YEAR($I$27),MONTH($I$27)+11,DAY($I$27)))</f>
        <v>　　年　月</v>
      </c>
      <c r="Q263" s="1480"/>
      <c r="R263" s="1481"/>
      <c r="S263" s="577"/>
      <c r="T263" s="577"/>
      <c r="U263" s="578"/>
      <c r="V263" s="579"/>
      <c r="W263" s="580"/>
      <c r="X263" s="1216" t="str">
        <f t="shared" si="22"/>
        <v/>
      </c>
      <c r="Y263" s="1217"/>
      <c r="Z263" s="1221"/>
      <c r="AA263" s="1222"/>
    </row>
    <row r="264" spans="2:27" ht="27.75" customHeight="1" thickTop="1" thickBot="1" x14ac:dyDescent="0.2">
      <c r="F264" s="1204" t="s">
        <v>189</v>
      </c>
      <c r="G264" s="1205"/>
      <c r="H264" s="1205"/>
      <c r="I264" s="1205"/>
      <c r="J264" s="1205"/>
      <c r="K264" s="1205"/>
      <c r="L264" s="1205"/>
      <c r="M264" s="1205"/>
      <c r="N264" s="1205"/>
      <c r="O264" s="1205"/>
      <c r="P264" s="1205"/>
      <c r="Q264" s="1205"/>
      <c r="R264" s="1205"/>
      <c r="S264" s="1205"/>
      <c r="T264" s="1205"/>
      <c r="U264" s="1205"/>
      <c r="V264" s="1205"/>
      <c r="W264" s="1206"/>
      <c r="X264" s="559"/>
      <c r="Y264" s="560"/>
      <c r="Z264" s="560"/>
      <c r="AA264" s="561"/>
    </row>
    <row r="265" spans="2:27" ht="17.25" customHeight="1" thickTop="1" x14ac:dyDescent="0.15">
      <c r="AA265" s="165" t="str">
        <f>IF(G23="","",IF(X264="","リストから選択↑　",""))</f>
        <v>リストから選択↑　</v>
      </c>
    </row>
    <row r="266" spans="2:27" ht="17.25" customHeight="1" x14ac:dyDescent="0.15"/>
    <row r="267" spans="2:27" ht="17.25" customHeight="1" x14ac:dyDescent="0.15">
      <c r="B267" s="172" t="s">
        <v>199</v>
      </c>
      <c r="C267" s="172"/>
      <c r="D267" s="172"/>
      <c r="E267" s="172"/>
      <c r="F267" s="172"/>
      <c r="G267" s="172"/>
      <c r="H267" s="172"/>
      <c r="I267" s="172"/>
      <c r="J267" s="172"/>
      <c r="K267" s="172"/>
      <c r="L267" s="172"/>
      <c r="M267" s="172"/>
      <c r="N267" s="172"/>
      <c r="O267" s="172"/>
      <c r="P267" s="172"/>
      <c r="Q267" s="172"/>
      <c r="R267" s="172"/>
      <c r="S267" s="172"/>
      <c r="T267" s="172"/>
      <c r="U267" s="172"/>
      <c r="V267" s="172"/>
      <c r="W267" s="172"/>
      <c r="X267" s="172"/>
      <c r="Y267" s="172"/>
      <c r="Z267" s="172"/>
    </row>
    <row r="268" spans="2:27" ht="27.75" customHeight="1" x14ac:dyDescent="0.15">
      <c r="C268" s="1207" t="s">
        <v>246</v>
      </c>
      <c r="D268" s="1208"/>
      <c r="E268" s="1208"/>
      <c r="F268" s="1208"/>
      <c r="G268" s="1208"/>
      <c r="H268" s="1208"/>
      <c r="I268" s="1208"/>
      <c r="J268" s="1208"/>
      <c r="K268" s="1208"/>
      <c r="L268" s="1208"/>
      <c r="M268" s="1208"/>
      <c r="N268" s="1208"/>
      <c r="O268" s="1208"/>
      <c r="P268" s="1208"/>
      <c r="Q268" s="1208"/>
      <c r="R268" s="1208"/>
      <c r="S268" s="1208"/>
      <c r="T268" s="1208"/>
      <c r="U268" s="1208"/>
      <c r="V268" s="1208"/>
      <c r="W268" s="1208"/>
      <c r="X268" s="1208"/>
      <c r="Y268" s="1208"/>
      <c r="Z268" s="1208"/>
      <c r="AA268" s="1208"/>
    </row>
    <row r="269" spans="2:27" s="172" customFormat="1" ht="47.25" customHeight="1" x14ac:dyDescent="0.15">
      <c r="B269" s="1085" t="s">
        <v>200</v>
      </c>
      <c r="C269" s="1089"/>
      <c r="D269" s="1090"/>
      <c r="E269" s="233"/>
      <c r="F269" s="1085" t="s">
        <v>0</v>
      </c>
      <c r="G269" s="1086"/>
      <c r="H269" s="1087"/>
      <c r="I269" s="1085" t="s">
        <v>190</v>
      </c>
      <c r="J269" s="1086"/>
      <c r="K269" s="1086"/>
      <c r="L269" s="1086"/>
      <c r="M269" s="1085" t="s">
        <v>191</v>
      </c>
      <c r="N269" s="1086"/>
      <c r="O269" s="1086"/>
      <c r="P269" s="1087"/>
    </row>
    <row r="270" spans="2:27" ht="17.25" customHeight="1" x14ac:dyDescent="0.15">
      <c r="B270" s="1470" t="str">
        <f>IF(OR($X$237="非該当",$X$264="非該当"),DATE(YEAR($I$27),MONTH($I$27),DAY($I$27)),"")</f>
        <v/>
      </c>
      <c r="C270" s="1471"/>
      <c r="D270" s="1472"/>
      <c r="E270" s="254"/>
      <c r="F270" s="553"/>
      <c r="G270" s="554"/>
      <c r="H270" s="555"/>
      <c r="I270" s="516"/>
      <c r="J270" s="517"/>
      <c r="K270" s="517"/>
      <c r="L270" s="517"/>
      <c r="M270" s="518"/>
      <c r="N270" s="519"/>
      <c r="O270" s="519"/>
      <c r="P270" s="520"/>
      <c r="Q270" s="255" t="str">
        <f>IF(B270="","",IF(M270&gt;0,"","※Ｃ＝（各月の時間外労働時間数(X)の合計）"))</f>
        <v/>
      </c>
      <c r="R270" s="256"/>
      <c r="S270" s="256"/>
      <c r="T270" s="256"/>
      <c r="U270" s="256"/>
      <c r="V270" s="256"/>
      <c r="W270" s="256"/>
      <c r="X270" s="256"/>
      <c r="Y270" s="256"/>
      <c r="Z270" s="256"/>
      <c r="AA270" s="256"/>
    </row>
    <row r="271" spans="2:27" ht="17.25" customHeight="1" x14ac:dyDescent="0.15">
      <c r="B271" s="1473"/>
      <c r="C271" s="1474"/>
      <c r="D271" s="1475"/>
      <c r="E271" s="254"/>
      <c r="F271" s="553"/>
      <c r="G271" s="554"/>
      <c r="H271" s="555"/>
      <c r="I271" s="516"/>
      <c r="J271" s="517"/>
      <c r="K271" s="517"/>
      <c r="L271" s="517"/>
      <c r="M271" s="518"/>
      <c r="N271" s="519"/>
      <c r="O271" s="519"/>
      <c r="P271" s="520"/>
      <c r="Q271" s="257" t="str">
        <f>IF(B270="","",IF(M270&gt;0,"","　　÷（各月の対象労働者数(Y)の合計）"))</f>
        <v/>
      </c>
      <c r="R271" s="258"/>
      <c r="S271" s="258"/>
      <c r="T271" s="258"/>
      <c r="U271" s="258"/>
      <c r="V271" s="258"/>
      <c r="W271" s="258"/>
      <c r="X271" s="258"/>
      <c r="Y271" s="258"/>
      <c r="Z271" s="258"/>
      <c r="AA271" s="258"/>
    </row>
    <row r="272" spans="2:27" ht="17.25" customHeight="1" x14ac:dyDescent="0.15">
      <c r="B272" s="1476"/>
      <c r="C272" s="1477"/>
      <c r="D272" s="1478"/>
      <c r="E272" s="254"/>
      <c r="F272" s="553"/>
      <c r="G272" s="554"/>
      <c r="H272" s="555"/>
      <c r="I272" s="516"/>
      <c r="J272" s="517"/>
      <c r="K272" s="517"/>
      <c r="L272" s="517"/>
      <c r="M272" s="518"/>
      <c r="N272" s="519"/>
      <c r="O272" s="519"/>
      <c r="P272" s="520"/>
    </row>
    <row r="273" spans="2:27" ht="17.25" customHeight="1" x14ac:dyDescent="0.15">
      <c r="B273" s="1470" t="str">
        <f>IF(OR($X$237="非該当",$X$264="非該当"),DATE(YEAR($I$27)-1,MONTH($I$27),DAY($I$27)),"")</f>
        <v/>
      </c>
      <c r="C273" s="1471"/>
      <c r="D273" s="1472"/>
      <c r="E273" s="254"/>
      <c r="F273" s="1180" t="str">
        <f>IF(F270="","",F270)</f>
        <v/>
      </c>
      <c r="G273" s="1181"/>
      <c r="H273" s="1182"/>
      <c r="I273" s="516"/>
      <c r="J273" s="517"/>
      <c r="K273" s="517"/>
      <c r="L273" s="517"/>
      <c r="M273" s="518"/>
      <c r="N273" s="519"/>
      <c r="O273" s="519"/>
      <c r="P273" s="520"/>
    </row>
    <row r="274" spans="2:27" ht="17.25" customHeight="1" x14ac:dyDescent="0.15">
      <c r="B274" s="1473"/>
      <c r="C274" s="1474"/>
      <c r="D274" s="1475"/>
      <c r="E274" s="254"/>
      <c r="F274" s="1180" t="str">
        <f>IF(F271="","",F271)</f>
        <v/>
      </c>
      <c r="G274" s="1181"/>
      <c r="H274" s="1182"/>
      <c r="I274" s="516"/>
      <c r="J274" s="517"/>
      <c r="K274" s="517"/>
      <c r="L274" s="517"/>
      <c r="M274" s="518"/>
      <c r="N274" s="519"/>
      <c r="O274" s="519"/>
      <c r="P274" s="520"/>
    </row>
    <row r="275" spans="2:27" ht="17.25" customHeight="1" x14ac:dyDescent="0.15">
      <c r="B275" s="1476"/>
      <c r="C275" s="1477"/>
      <c r="D275" s="1478"/>
      <c r="E275" s="254"/>
      <c r="F275" s="1180" t="str">
        <f>IF(F272="","",F272)</f>
        <v/>
      </c>
      <c r="G275" s="1181"/>
      <c r="H275" s="1182"/>
      <c r="I275" s="516"/>
      <c r="J275" s="517"/>
      <c r="K275" s="517"/>
      <c r="L275" s="517"/>
      <c r="M275" s="518"/>
      <c r="N275" s="519"/>
      <c r="O275" s="519"/>
      <c r="P275" s="520"/>
      <c r="Q275" s="1088" t="s">
        <v>192</v>
      </c>
      <c r="R275" s="1089"/>
      <c r="S275" s="1089"/>
      <c r="T275" s="1089"/>
      <c r="U275" s="1089"/>
      <c r="V275" s="1089"/>
      <c r="W275" s="1089"/>
      <c r="X275" s="1089"/>
      <c r="Y275" s="1089"/>
      <c r="Z275" s="1089"/>
      <c r="AA275" s="1090"/>
    </row>
    <row r="276" spans="2:27" ht="17.25" customHeight="1" x14ac:dyDescent="0.15">
      <c r="B276" s="1470" t="str">
        <f>IF(OR($X$237="非該当",$X$264="非該当"),DATE(YEAR($I$27)-2,MONTH($I$27),DAY($I$27)),"")</f>
        <v/>
      </c>
      <c r="C276" s="1471"/>
      <c r="D276" s="1472"/>
      <c r="E276" s="254"/>
      <c r="F276" s="1180" t="str">
        <f>IF(F270="","",F270)</f>
        <v/>
      </c>
      <c r="G276" s="1181"/>
      <c r="H276" s="1182"/>
      <c r="I276" s="516"/>
      <c r="J276" s="517"/>
      <c r="K276" s="517"/>
      <c r="L276" s="517"/>
      <c r="M276" s="518"/>
      <c r="N276" s="519"/>
      <c r="O276" s="519"/>
      <c r="P276" s="520"/>
      <c r="Q276" s="1202" t="str">
        <f>IF(B276="","",Q16)</f>
        <v/>
      </c>
      <c r="R276" s="1203"/>
      <c r="S276" s="1185" t="str">
        <f>IF(F276="","",F276)</f>
        <v/>
      </c>
      <c r="T276" s="1186"/>
      <c r="U276" s="1187"/>
      <c r="V276" s="1188" t="str">
        <f>IF(S276="","",ROUND(SUMIF(F270:H278,S276,I270:L278)/3,2))</f>
        <v/>
      </c>
      <c r="W276" s="1189"/>
      <c r="X276" s="1190"/>
      <c r="Y276" s="1173" t="str">
        <f>IF(S276="","",ROUND(SUMIF(F270:H278,S276,M270:P278)/3,2))</f>
        <v/>
      </c>
      <c r="Z276" s="1174"/>
      <c r="AA276" s="1175"/>
    </row>
    <row r="277" spans="2:27" ht="17.25" customHeight="1" x14ac:dyDescent="0.15">
      <c r="B277" s="1473"/>
      <c r="C277" s="1474"/>
      <c r="D277" s="1475"/>
      <c r="E277" s="254"/>
      <c r="F277" s="1180" t="str">
        <f>IF(F271="","",F271)</f>
        <v/>
      </c>
      <c r="G277" s="1181"/>
      <c r="H277" s="1182"/>
      <c r="I277" s="516"/>
      <c r="J277" s="517"/>
      <c r="K277" s="517"/>
      <c r="L277" s="517"/>
      <c r="M277" s="518"/>
      <c r="N277" s="519"/>
      <c r="O277" s="519"/>
      <c r="P277" s="520"/>
      <c r="Q277" s="1191" t="s">
        <v>77</v>
      </c>
      <c r="R277" s="1192"/>
      <c r="S277" s="1185" t="str">
        <f t="shared" ref="S277:S281" si="23">IF(F277="","",F277)</f>
        <v/>
      </c>
      <c r="T277" s="1186"/>
      <c r="U277" s="1187"/>
      <c r="V277" s="1188" t="str">
        <f>IF(S277="","",ROUND(SUMIF(F270:H278,S277,I270:L278)/3,2))</f>
        <v/>
      </c>
      <c r="W277" s="1189"/>
      <c r="X277" s="1190"/>
      <c r="Y277" s="1173" t="str">
        <f>IF(S277="","",ROUND(SUMIF(F270:H278,S277,M270:P278)/3,2))</f>
        <v/>
      </c>
      <c r="Z277" s="1174"/>
      <c r="AA277" s="1175"/>
    </row>
    <row r="278" spans="2:27" ht="17.25" customHeight="1" x14ac:dyDescent="0.15">
      <c r="B278" s="1476"/>
      <c r="C278" s="1477"/>
      <c r="D278" s="1478"/>
      <c r="E278" s="254"/>
      <c r="F278" s="1180" t="str">
        <f>IF(F272="","",F272)</f>
        <v/>
      </c>
      <c r="G278" s="1181"/>
      <c r="H278" s="1182"/>
      <c r="I278" s="516"/>
      <c r="J278" s="517"/>
      <c r="K278" s="517"/>
      <c r="L278" s="517"/>
      <c r="M278" s="518"/>
      <c r="N278" s="519"/>
      <c r="O278" s="519"/>
      <c r="P278" s="520"/>
      <c r="Q278" s="1183" t="str">
        <f>IF(B276="","",Q18)</f>
        <v/>
      </c>
      <c r="R278" s="1184"/>
      <c r="S278" s="1185" t="str">
        <f t="shared" si="23"/>
        <v/>
      </c>
      <c r="T278" s="1186"/>
      <c r="U278" s="1187"/>
      <c r="V278" s="1188" t="str">
        <f>IF(S278="","",ROUND(SUMIF(F270:H278,S278,I270:L278)/3,2))</f>
        <v/>
      </c>
      <c r="W278" s="1189"/>
      <c r="X278" s="1190"/>
      <c r="Y278" s="1173" t="str">
        <f>IF(S278="","",ROUND(SUMIF(F270:H278,S278,M270:P278)/3,2))</f>
        <v/>
      </c>
      <c r="Z278" s="1174"/>
      <c r="AA278" s="1175"/>
    </row>
    <row r="279" spans="2:27" ht="17.25" customHeight="1" x14ac:dyDescent="0.15">
      <c r="B279" s="1470" t="str">
        <f>IF(OR($X$237="非該当",$X$264="非該当"),DATE(YEAR($I$27)-3,MONTH($I$27),DAY($I$27)),"")</f>
        <v/>
      </c>
      <c r="C279" s="1471"/>
      <c r="D279" s="1472"/>
      <c r="E279" s="254"/>
      <c r="F279" s="1180" t="str">
        <f>IF(F276="","",F276)</f>
        <v/>
      </c>
      <c r="G279" s="1181"/>
      <c r="H279" s="1182"/>
      <c r="I279" s="516"/>
      <c r="J279" s="517"/>
      <c r="K279" s="517"/>
      <c r="L279" s="517"/>
      <c r="M279" s="518"/>
      <c r="N279" s="519"/>
      <c r="O279" s="519"/>
      <c r="P279" s="520"/>
      <c r="Q279" s="1202" t="str">
        <f>IF(B279="","",Q17)</f>
        <v/>
      </c>
      <c r="R279" s="1203"/>
      <c r="S279" s="1185" t="str">
        <f t="shared" si="23"/>
        <v/>
      </c>
      <c r="T279" s="1186"/>
      <c r="U279" s="1187"/>
      <c r="V279" s="1188" t="str">
        <f>IF(S279="","",ROUND(SUMIF(F273:H281,S279,I273:L281)/3,2))</f>
        <v/>
      </c>
      <c r="W279" s="1189"/>
      <c r="X279" s="1190"/>
      <c r="Y279" s="1173" t="str">
        <f>IF(S279="","",ROUND(SUMIF(F273:H281,S279,M273:P281)/3,2))</f>
        <v/>
      </c>
      <c r="Z279" s="1174"/>
      <c r="AA279" s="1175"/>
    </row>
    <row r="280" spans="2:27" ht="17.25" customHeight="1" x14ac:dyDescent="0.15">
      <c r="B280" s="1473"/>
      <c r="C280" s="1474"/>
      <c r="D280" s="1475"/>
      <c r="E280" s="254"/>
      <c r="F280" s="1180" t="str">
        <f>IF(F277="","",F277)</f>
        <v/>
      </c>
      <c r="G280" s="1181"/>
      <c r="H280" s="1182"/>
      <c r="I280" s="516"/>
      <c r="J280" s="517"/>
      <c r="K280" s="517"/>
      <c r="L280" s="517"/>
      <c r="M280" s="518"/>
      <c r="N280" s="519"/>
      <c r="O280" s="519"/>
      <c r="P280" s="520"/>
      <c r="Q280" s="1191" t="s">
        <v>77</v>
      </c>
      <c r="R280" s="1192"/>
      <c r="S280" s="1185" t="str">
        <f t="shared" si="23"/>
        <v/>
      </c>
      <c r="T280" s="1186"/>
      <c r="U280" s="1187"/>
      <c r="V280" s="1188" t="str">
        <f>IF(S280="","",ROUND(SUMIF(F273:H281,S280,I273:L281)/3,2))</f>
        <v/>
      </c>
      <c r="W280" s="1189"/>
      <c r="X280" s="1190"/>
      <c r="Y280" s="1173" t="str">
        <f>IF(S280="","",ROUND(SUMIF(F273:H281,S280,M273:P281)/3,2))</f>
        <v/>
      </c>
      <c r="Z280" s="1174"/>
      <c r="AA280" s="1175"/>
    </row>
    <row r="281" spans="2:27" ht="17.25" customHeight="1" x14ac:dyDescent="0.15">
      <c r="B281" s="1476"/>
      <c r="C281" s="1477"/>
      <c r="D281" s="1478"/>
      <c r="E281" s="254"/>
      <c r="F281" s="1180" t="str">
        <f>IF(F278="","",F278)</f>
        <v/>
      </c>
      <c r="G281" s="1181"/>
      <c r="H281" s="1182"/>
      <c r="I281" s="516"/>
      <c r="J281" s="517"/>
      <c r="K281" s="517"/>
      <c r="L281" s="517"/>
      <c r="M281" s="518"/>
      <c r="N281" s="519"/>
      <c r="O281" s="519"/>
      <c r="P281" s="520"/>
      <c r="Q281" s="1183" t="str">
        <f>IF(B279="","",Q19)</f>
        <v/>
      </c>
      <c r="R281" s="1184"/>
      <c r="S281" s="1185" t="str">
        <f t="shared" si="23"/>
        <v/>
      </c>
      <c r="T281" s="1186"/>
      <c r="U281" s="1187"/>
      <c r="V281" s="1188" t="str">
        <f>IF(S281="","",ROUND(SUMIF(F273:H281,S281,I273:L281)/3,2))</f>
        <v/>
      </c>
      <c r="W281" s="1189"/>
      <c r="X281" s="1190"/>
      <c r="Y281" s="1173" t="str">
        <f>IF(S281="","",ROUND(SUMIF(F273:H281,S281,M273:P281)/3,2))</f>
        <v/>
      </c>
      <c r="Z281" s="1174"/>
      <c r="AA281" s="1175"/>
    </row>
    <row r="282" spans="2:27" ht="17.25" customHeight="1" x14ac:dyDescent="0.15">
      <c r="B282" s="1470" t="str">
        <f>IF(OR($X$237="非該当",$X$264="非該当"),DATE(YEAR($I$27)-4,MONTH($I$27),DAY($I$27)),"")</f>
        <v/>
      </c>
      <c r="C282" s="1471"/>
      <c r="D282" s="1472"/>
      <c r="E282" s="254"/>
      <c r="F282" s="1180" t="str">
        <f>IF(F276="","",F276)</f>
        <v/>
      </c>
      <c r="G282" s="1181"/>
      <c r="H282" s="1182"/>
      <c r="I282" s="516"/>
      <c r="J282" s="517"/>
      <c r="K282" s="517"/>
      <c r="L282" s="517"/>
      <c r="M282" s="518"/>
      <c r="N282" s="519"/>
      <c r="O282" s="519"/>
      <c r="P282" s="520"/>
      <c r="Q282" s="1202" t="str">
        <f>IF(B282="","",Q18)</f>
        <v/>
      </c>
      <c r="R282" s="1203"/>
      <c r="S282" s="1185" t="str">
        <f>IF(F282="","",F282)</f>
        <v/>
      </c>
      <c r="T282" s="1186"/>
      <c r="U282" s="1187"/>
      <c r="V282" s="1188" t="str">
        <f>IF(S282="","",ROUND(SUMIF(F276:H284,S282,I276:L284)/3,2))</f>
        <v/>
      </c>
      <c r="W282" s="1189"/>
      <c r="X282" s="1190"/>
      <c r="Y282" s="1173" t="str">
        <f>IF(S282="","",ROUND(SUMIF(F276:H284,S282,M276:P284)/3,2))</f>
        <v/>
      </c>
      <c r="Z282" s="1174"/>
      <c r="AA282" s="1175"/>
    </row>
    <row r="283" spans="2:27" ht="17.25" customHeight="1" x14ac:dyDescent="0.15">
      <c r="B283" s="1473"/>
      <c r="C283" s="1474"/>
      <c r="D283" s="1475"/>
      <c r="E283" s="254"/>
      <c r="F283" s="1180" t="str">
        <f>IF(F277="","",F277)</f>
        <v/>
      </c>
      <c r="G283" s="1181"/>
      <c r="H283" s="1182"/>
      <c r="I283" s="516"/>
      <c r="J283" s="517"/>
      <c r="K283" s="517"/>
      <c r="L283" s="517"/>
      <c r="M283" s="518"/>
      <c r="N283" s="519"/>
      <c r="O283" s="519"/>
      <c r="P283" s="520"/>
      <c r="Q283" s="1191" t="s">
        <v>77</v>
      </c>
      <c r="R283" s="1192"/>
      <c r="S283" s="1185" t="str">
        <f t="shared" ref="S283:S284" si="24">IF(F283="","",F283)</f>
        <v/>
      </c>
      <c r="T283" s="1186"/>
      <c r="U283" s="1187"/>
      <c r="V283" s="1188" t="str">
        <f>IF(S283="","",ROUND(SUMIF(F276:H284,S283,I276:L284)/3,2))</f>
        <v/>
      </c>
      <c r="W283" s="1189"/>
      <c r="X283" s="1190"/>
      <c r="Y283" s="1173" t="str">
        <f>IF(S283="","",ROUND(SUMIF(F276:H284,S283,M276:P284)/3,2))</f>
        <v/>
      </c>
      <c r="Z283" s="1174"/>
      <c r="AA283" s="1175"/>
    </row>
    <row r="284" spans="2:27" ht="17.25" customHeight="1" x14ac:dyDescent="0.15">
      <c r="B284" s="1476"/>
      <c r="C284" s="1477"/>
      <c r="D284" s="1478"/>
      <c r="E284" s="254"/>
      <c r="F284" s="1180" t="str">
        <f>IF(F278="","",F278)</f>
        <v/>
      </c>
      <c r="G284" s="1181"/>
      <c r="H284" s="1182"/>
      <c r="I284" s="516"/>
      <c r="J284" s="517"/>
      <c r="K284" s="517"/>
      <c r="L284" s="517"/>
      <c r="M284" s="518"/>
      <c r="N284" s="519"/>
      <c r="O284" s="519"/>
      <c r="P284" s="520"/>
      <c r="Q284" s="1183" t="str">
        <f>IF(B282="","",Q20)</f>
        <v/>
      </c>
      <c r="R284" s="1184"/>
      <c r="S284" s="1185" t="str">
        <f t="shared" si="24"/>
        <v/>
      </c>
      <c r="T284" s="1186"/>
      <c r="U284" s="1187"/>
      <c r="V284" s="1188" t="str">
        <f>IF(S284="","",ROUND(SUMIF(F276:H284,S284,I276:L284)/3,2))</f>
        <v/>
      </c>
      <c r="W284" s="1189"/>
      <c r="X284" s="1190"/>
      <c r="Y284" s="1173" t="str">
        <f>IF(S284="","",ROUND(SUMIF(F276:H284,S284,M276:P284)/3,2))</f>
        <v/>
      </c>
      <c r="Z284" s="1174"/>
      <c r="AA284" s="1175"/>
    </row>
    <row r="285" spans="2:27" ht="17.25" customHeight="1" x14ac:dyDescent="0.15">
      <c r="B285" s="246"/>
      <c r="C285" s="246"/>
      <c r="D285" s="246"/>
      <c r="F285" s="246"/>
      <c r="G285" s="246"/>
      <c r="H285" s="246"/>
      <c r="I285" s="246"/>
      <c r="J285" s="246"/>
      <c r="K285" s="246"/>
      <c r="L285" s="246"/>
      <c r="M285" s="246"/>
      <c r="N285" s="246"/>
      <c r="O285" s="246"/>
      <c r="P285" s="246"/>
    </row>
    <row r="286" spans="2:27" ht="30.75" customHeight="1" x14ac:dyDescent="0.15">
      <c r="B286" s="211" t="s">
        <v>160</v>
      </c>
      <c r="H286" s="211"/>
      <c r="AA286" s="212" t="str">
        <f>IF(G$23="","",G$23)</f>
        <v>株式会社参画企画</v>
      </c>
    </row>
    <row r="287" spans="2:27" s="176" customFormat="1" ht="17.25" customHeight="1" x14ac:dyDescent="0.15">
      <c r="B287" s="1107" t="s">
        <v>150</v>
      </c>
      <c r="C287" s="1108"/>
      <c r="D287" s="1108"/>
      <c r="E287" s="1108"/>
      <c r="F287" s="1108"/>
      <c r="G287" s="1108"/>
      <c r="H287" s="1108"/>
      <c r="I287" s="1108"/>
      <c r="J287" s="1108"/>
      <c r="K287" s="1108"/>
      <c r="L287" s="1108"/>
      <c r="M287" s="1108"/>
      <c r="N287" s="1108"/>
      <c r="O287" s="1108"/>
      <c r="P287" s="1108"/>
      <c r="Q287" s="1108"/>
      <c r="R287" s="1108"/>
      <c r="S287" s="1108"/>
      <c r="T287" s="1108"/>
      <c r="U287" s="1108"/>
      <c r="V287" s="1108"/>
      <c r="W287" s="1108"/>
      <c r="X287" s="1108"/>
      <c r="Y287" s="1108"/>
      <c r="Z287" s="1108"/>
      <c r="AA287" s="1109"/>
    </row>
    <row r="288" spans="2:27" s="176" customFormat="1" ht="17.25" customHeight="1" x14ac:dyDescent="0.15">
      <c r="B288" s="1110" t="s">
        <v>132</v>
      </c>
      <c r="C288" s="1111"/>
      <c r="D288" s="1111"/>
      <c r="E288" s="1111"/>
      <c r="F288" s="1111"/>
      <c r="G288" s="1111"/>
      <c r="H288" s="1111"/>
      <c r="I288" s="1111"/>
      <c r="J288" s="1111"/>
      <c r="K288" s="1111"/>
      <c r="L288" s="1111"/>
      <c r="M288" s="1111"/>
      <c r="N288" s="1111"/>
      <c r="O288" s="1111"/>
      <c r="P288" s="1111"/>
      <c r="Q288" s="1111"/>
      <c r="R288" s="1111"/>
      <c r="S288" s="1111"/>
      <c r="T288" s="1111"/>
      <c r="U288" s="1111"/>
      <c r="V288" s="1111"/>
      <c r="W288" s="1111"/>
      <c r="X288" s="1111"/>
      <c r="Y288" s="1111"/>
      <c r="Z288" s="1111"/>
      <c r="AA288" s="1112"/>
    </row>
    <row r="289" spans="2:28" s="176" customFormat="1" ht="17.25" customHeight="1" x14ac:dyDescent="0.15">
      <c r="B289" s="1113" t="s">
        <v>133</v>
      </c>
      <c r="C289" s="1176"/>
      <c r="D289" s="1176"/>
      <c r="E289" s="1176"/>
      <c r="F289" s="1176"/>
      <c r="G289" s="1176"/>
      <c r="H289" s="1176"/>
      <c r="I289" s="1176"/>
      <c r="J289" s="1176"/>
      <c r="K289" s="1176"/>
      <c r="L289" s="1176"/>
      <c r="M289" s="1176"/>
      <c r="N289" s="1176"/>
      <c r="O289" s="1176"/>
      <c r="P289" s="1176"/>
      <c r="Q289" s="1176"/>
      <c r="R289" s="1176"/>
      <c r="S289" s="1176"/>
      <c r="T289" s="1176"/>
      <c r="U289" s="1176"/>
      <c r="V289" s="1176"/>
      <c r="W289" s="1176"/>
      <c r="X289" s="1176"/>
      <c r="Y289" s="1176"/>
      <c r="Z289" s="1176"/>
      <c r="AA289" s="1177"/>
    </row>
    <row r="290" spans="2:28" s="176" customFormat="1" ht="27" customHeight="1" x14ac:dyDescent="0.15">
      <c r="B290" s="1116" t="s">
        <v>145</v>
      </c>
      <c r="C290" s="1178"/>
      <c r="D290" s="1178"/>
      <c r="E290" s="1178"/>
      <c r="F290" s="1178"/>
      <c r="G290" s="1178"/>
      <c r="H290" s="1178"/>
      <c r="I290" s="1178"/>
      <c r="J290" s="1178"/>
      <c r="K290" s="1178"/>
      <c r="L290" s="1178"/>
      <c r="M290" s="1178"/>
      <c r="N290" s="1178"/>
      <c r="O290" s="1178"/>
      <c r="P290" s="1178"/>
      <c r="Q290" s="1178"/>
      <c r="R290" s="1178"/>
      <c r="S290" s="1178"/>
      <c r="T290" s="1178"/>
      <c r="U290" s="1178"/>
      <c r="V290" s="1178"/>
      <c r="W290" s="1178"/>
      <c r="X290" s="1178"/>
      <c r="Y290" s="1178"/>
      <c r="Z290" s="1178"/>
      <c r="AA290" s="1179"/>
    </row>
    <row r="291" spans="2:28" ht="17.25" customHeight="1" x14ac:dyDescent="0.15"/>
    <row r="292" spans="2:28" ht="17.25" customHeight="1" thickBot="1" x14ac:dyDescent="0.2">
      <c r="B292" s="232" t="s">
        <v>134</v>
      </c>
    </row>
    <row r="293" spans="2:28" s="172" customFormat="1" ht="47.25" customHeight="1" thickTop="1" x14ac:dyDescent="0.15">
      <c r="B293" s="1085" t="s">
        <v>5</v>
      </c>
      <c r="C293" s="1089"/>
      <c r="D293" s="1090"/>
      <c r="E293" s="233"/>
      <c r="F293" s="1085" t="s">
        <v>24</v>
      </c>
      <c r="G293" s="1086"/>
      <c r="H293" s="1087"/>
      <c r="I293" s="1085" t="s">
        <v>25</v>
      </c>
      <c r="J293" s="1089"/>
      <c r="K293" s="1090"/>
      <c r="L293" s="1088" t="s">
        <v>26</v>
      </c>
      <c r="M293" s="1089"/>
      <c r="N293" s="1089"/>
      <c r="O293" s="1105" t="s">
        <v>27</v>
      </c>
      <c r="P293" s="1149"/>
      <c r="Q293" s="1106"/>
      <c r="R293" s="1105" t="s">
        <v>237</v>
      </c>
      <c r="S293" s="1156"/>
      <c r="T293" s="1156"/>
      <c r="U293" s="1156"/>
      <c r="V293" s="1156"/>
      <c r="W293" s="1157"/>
      <c r="X293" s="1105" t="s">
        <v>35</v>
      </c>
      <c r="Y293" s="1106"/>
    </row>
    <row r="294" spans="2:28" s="172" customFormat="1" ht="17.25" customHeight="1" x14ac:dyDescent="0.15">
      <c r="B294" s="1464">
        <f>IF($I$27="","",$I$27)</f>
        <v>45566</v>
      </c>
      <c r="C294" s="1465"/>
      <c r="D294" s="1466"/>
      <c r="E294" s="254"/>
      <c r="F294" s="491">
        <v>0</v>
      </c>
      <c r="G294" s="492"/>
      <c r="H294" s="493"/>
      <c r="I294" s="491">
        <v>2</v>
      </c>
      <c r="J294" s="492"/>
      <c r="K294" s="493"/>
      <c r="L294" s="1164">
        <f>IF(B294="","",F294+I294)</f>
        <v>2</v>
      </c>
      <c r="M294" s="1165"/>
      <c r="N294" s="1166"/>
      <c r="O294" s="503">
        <f>IF(B294="","",IF(L294&lt;1,0,ROUND(F294/L294,3)))</f>
        <v>0</v>
      </c>
      <c r="P294" s="504"/>
      <c r="Q294" s="505"/>
      <c r="R294" s="1170" t="str">
        <f>IF(B294="","",IF(R26="",R25,R26))</f>
        <v>生活関連サービス業･娯楽業</v>
      </c>
      <c r="S294" s="1171"/>
      <c r="T294" s="1171"/>
      <c r="U294" s="1171"/>
      <c r="V294" s="1171"/>
      <c r="W294" s="1172"/>
      <c r="X294" s="481" t="s">
        <v>267</v>
      </c>
      <c r="Y294" s="482"/>
    </row>
    <row r="295" spans="2:28" s="172" customFormat="1" ht="17.25" customHeight="1" thickBot="1" x14ac:dyDescent="0.2">
      <c r="B295" s="1467"/>
      <c r="C295" s="1468"/>
      <c r="D295" s="1469"/>
      <c r="E295" s="254"/>
      <c r="F295" s="494"/>
      <c r="G295" s="495"/>
      <c r="H295" s="496"/>
      <c r="I295" s="494"/>
      <c r="J295" s="495"/>
      <c r="K295" s="496"/>
      <c r="L295" s="1167"/>
      <c r="M295" s="1168"/>
      <c r="N295" s="1169"/>
      <c r="O295" s="506"/>
      <c r="P295" s="507"/>
      <c r="Q295" s="508"/>
      <c r="R295" s="930">
        <v>15.1</v>
      </c>
      <c r="S295" s="931"/>
      <c r="T295" s="931"/>
      <c r="U295" s="931"/>
      <c r="V295" s="931"/>
      <c r="W295" s="932"/>
      <c r="X295" s="483"/>
      <c r="Y295" s="484"/>
    </row>
    <row r="296" spans="2:28" ht="17.25" customHeight="1" thickTop="1" x14ac:dyDescent="0.15">
      <c r="S296" s="165" t="str">
        <f>IF(G23="","",IF(G23="","",IF(R295="","上段に産業分類（製造業は中分類）を、下段に産業平均値を記載↑","")))</f>
        <v/>
      </c>
      <c r="Y296" s="165" t="str">
        <f>IF(G23="","",IF(X294="","リストから選択↑　",""))</f>
        <v/>
      </c>
    </row>
    <row r="297" spans="2:28" ht="17.25" customHeight="1" x14ac:dyDescent="0.15">
      <c r="B297" s="172" t="s">
        <v>201</v>
      </c>
      <c r="S297" s="165"/>
      <c r="T297" s="165"/>
      <c r="U297" s="165"/>
      <c r="V297" s="165"/>
      <c r="W297" s="165"/>
      <c r="X297" s="165"/>
      <c r="Y297" s="165"/>
      <c r="AB297" s="165"/>
    </row>
    <row r="298" spans="2:28" s="172" customFormat="1" ht="47.25" customHeight="1" x14ac:dyDescent="0.15">
      <c r="B298" s="1085" t="s">
        <v>136</v>
      </c>
      <c r="C298" s="1089"/>
      <c r="D298" s="1090"/>
      <c r="E298" s="233"/>
      <c r="F298" s="1085" t="s">
        <v>24</v>
      </c>
      <c r="G298" s="1086"/>
      <c r="H298" s="1087"/>
      <c r="I298" s="1085" t="s">
        <v>25</v>
      </c>
      <c r="J298" s="1089"/>
      <c r="K298" s="1090"/>
      <c r="L298" s="1088" t="s">
        <v>26</v>
      </c>
      <c r="M298" s="1089"/>
      <c r="N298" s="1089"/>
      <c r="O298" s="1085" t="s">
        <v>27</v>
      </c>
      <c r="P298" s="1089"/>
      <c r="Q298" s="1090"/>
    </row>
    <row r="299" spans="2:28" s="172" customFormat="1" ht="17.25" customHeight="1" x14ac:dyDescent="0.15">
      <c r="B299" s="1455">
        <f>IF(OR($X$294="非該当",$X$294="算出不能"),DATE(YEAR($I$27)-1,MONTH($I$27),DAY($I$27)),"")</f>
        <v>45200</v>
      </c>
      <c r="C299" s="1456"/>
      <c r="D299" s="1457"/>
      <c r="E299" s="254"/>
      <c r="F299" s="454">
        <v>0</v>
      </c>
      <c r="G299" s="455"/>
      <c r="H299" s="456"/>
      <c r="I299" s="454">
        <v>2</v>
      </c>
      <c r="J299" s="455"/>
      <c r="K299" s="456"/>
      <c r="L299" s="1150">
        <f>IF(B299="","",F299+I299)</f>
        <v>2</v>
      </c>
      <c r="M299" s="1151"/>
      <c r="N299" s="1152"/>
      <c r="O299" s="460">
        <f>IF(B299="","",IF(L299&lt;1,0,ROUND(F299/L299,3)))</f>
        <v>0</v>
      </c>
      <c r="P299" s="461"/>
      <c r="Q299" s="462"/>
      <c r="R299" s="1088" t="s">
        <v>187</v>
      </c>
      <c r="S299" s="1089"/>
      <c r="T299" s="1089"/>
      <c r="U299" s="1089"/>
      <c r="V299" s="1089"/>
      <c r="W299" s="1089"/>
      <c r="X299" s="1089"/>
      <c r="Y299" s="1090"/>
    </row>
    <row r="300" spans="2:28" s="172" customFormat="1" ht="17.25" customHeight="1" x14ac:dyDescent="0.15">
      <c r="B300" s="1455">
        <f>IF(OR($X$294="非該当",$X$294="算出不能"),DATE(YEAR($I$27)-2,MONTH($I$27),DAY($I$27)),"")</f>
        <v>44835</v>
      </c>
      <c r="C300" s="1456"/>
      <c r="D300" s="1457"/>
      <c r="E300" s="254"/>
      <c r="F300" s="454">
        <v>0</v>
      </c>
      <c r="G300" s="455"/>
      <c r="H300" s="456"/>
      <c r="I300" s="454">
        <v>2</v>
      </c>
      <c r="J300" s="455"/>
      <c r="K300" s="456"/>
      <c r="L300" s="1150">
        <f>IF(B300="","",F300+I300)</f>
        <v>2</v>
      </c>
      <c r="M300" s="1151"/>
      <c r="N300" s="1152"/>
      <c r="O300" s="460">
        <f t="shared" ref="O300:O302" si="25">IF(B300="","",IF(L300&lt;1,0,ROUND(F300/L300,3)))</f>
        <v>0</v>
      </c>
      <c r="P300" s="461"/>
      <c r="Q300" s="462"/>
      <c r="R300" s="1153" t="str">
        <f>IF(B300="","～",P16&amp;"～"&amp;Q18)</f>
        <v>2024～2022年</v>
      </c>
      <c r="S300" s="1154"/>
      <c r="T300" s="1154"/>
      <c r="U300" s="1154"/>
      <c r="V300" s="1155"/>
      <c r="W300" s="460">
        <f>IF(B300="","",ROUND(AVERAGE(O294,O299,O300),3))</f>
        <v>0</v>
      </c>
      <c r="X300" s="461"/>
      <c r="Y300" s="462"/>
    </row>
    <row r="301" spans="2:28" s="172" customFormat="1" ht="17.25" customHeight="1" x14ac:dyDescent="0.15">
      <c r="B301" s="1455">
        <f>IF(OR($X$294="非該当",$X$294="算出不能"),DATE(YEAR($I$27)-3,MONTH($I$27),DAY($I$27)),"")</f>
        <v>44470</v>
      </c>
      <c r="C301" s="1456"/>
      <c r="D301" s="1457"/>
      <c r="E301" s="254"/>
      <c r="F301" s="454">
        <v>0</v>
      </c>
      <c r="G301" s="455"/>
      <c r="H301" s="456"/>
      <c r="I301" s="454">
        <v>2</v>
      </c>
      <c r="J301" s="455"/>
      <c r="K301" s="456"/>
      <c r="L301" s="1150">
        <f>IF(B301="","",F301+I301)</f>
        <v>2</v>
      </c>
      <c r="M301" s="1151"/>
      <c r="N301" s="1152"/>
      <c r="O301" s="460">
        <f t="shared" si="25"/>
        <v>0</v>
      </c>
      <c r="P301" s="461"/>
      <c r="Q301" s="462"/>
      <c r="R301" s="1153" t="str">
        <f>IF(B301="","～",P17&amp;"～"&amp;Q19)</f>
        <v>2023～2021年</v>
      </c>
      <c r="S301" s="1154"/>
      <c r="T301" s="1154"/>
      <c r="U301" s="1154"/>
      <c r="V301" s="1155"/>
      <c r="W301" s="460">
        <f>IF(B301="","",ROUND(AVERAGE(O299,O300,O301),3))</f>
        <v>0</v>
      </c>
      <c r="X301" s="461"/>
      <c r="Y301" s="462"/>
    </row>
    <row r="302" spans="2:28" s="172" customFormat="1" ht="17.25" customHeight="1" x14ac:dyDescent="0.15">
      <c r="B302" s="1455">
        <f>IF(OR($X$294="非該当",$X$294="算出不能"),DATE(YEAR($I$27)-4,MONTH($I$27),DAY($I$27)),"")</f>
        <v>44105</v>
      </c>
      <c r="C302" s="1456"/>
      <c r="D302" s="1457"/>
      <c r="E302" s="254"/>
      <c r="F302" s="454">
        <v>0</v>
      </c>
      <c r="G302" s="455"/>
      <c r="H302" s="456"/>
      <c r="I302" s="454">
        <v>2</v>
      </c>
      <c r="J302" s="455"/>
      <c r="K302" s="456"/>
      <c r="L302" s="1150">
        <v>2</v>
      </c>
      <c r="M302" s="1151"/>
      <c r="N302" s="1152"/>
      <c r="O302" s="460">
        <f t="shared" si="25"/>
        <v>0</v>
      </c>
      <c r="P302" s="461"/>
      <c r="Q302" s="462"/>
      <c r="R302" s="1153" t="str">
        <f>IF(B302="","～",P18&amp;"～"&amp;Q20)</f>
        <v>2022～2020年</v>
      </c>
      <c r="S302" s="1154"/>
      <c r="T302" s="1154"/>
      <c r="U302" s="1154"/>
      <c r="V302" s="1155"/>
      <c r="W302" s="460">
        <f>IF(B302="","",ROUND(AVERAGE(O300,O301,O302),3))</f>
        <v>0</v>
      </c>
      <c r="X302" s="461"/>
      <c r="Y302" s="462"/>
    </row>
    <row r="303" spans="2:28" ht="17.25" customHeight="1" x14ac:dyDescent="0.15"/>
    <row r="304" spans="2:28" ht="17.25" customHeight="1" x14ac:dyDescent="0.15"/>
    <row r="305" spans="2:27" ht="17.25" customHeight="1" x14ac:dyDescent="0.15">
      <c r="B305" s="232" t="s">
        <v>135</v>
      </c>
      <c r="J305" s="259"/>
    </row>
    <row r="306" spans="2:27" ht="17.25" customHeight="1" thickBot="1" x14ac:dyDescent="0.2">
      <c r="G306" s="1137" t="s">
        <v>40</v>
      </c>
      <c r="H306" s="1138"/>
      <c r="I306" s="1138"/>
      <c r="J306" s="1138"/>
      <c r="K306" s="1138"/>
      <c r="L306" s="1138"/>
      <c r="M306" s="1138"/>
      <c r="N306" s="1139"/>
      <c r="O306" s="1137" t="s">
        <v>41</v>
      </c>
      <c r="P306" s="1138"/>
      <c r="Q306" s="1138"/>
      <c r="R306" s="1138"/>
      <c r="S306" s="1138"/>
      <c r="T306" s="1138"/>
      <c r="U306" s="1138"/>
      <c r="V306" s="1139"/>
    </row>
    <row r="307" spans="2:27" s="172" customFormat="1" ht="54" customHeight="1" thickTop="1" x14ac:dyDescent="0.15">
      <c r="B307" s="1088" t="s">
        <v>68</v>
      </c>
      <c r="C307" s="1089"/>
      <c r="D307" s="1089"/>
      <c r="E307" s="1089"/>
      <c r="F307" s="1090"/>
      <c r="G307" s="1085" t="s">
        <v>28</v>
      </c>
      <c r="H307" s="1087"/>
      <c r="I307" s="1085" t="s">
        <v>29</v>
      </c>
      <c r="J307" s="1087"/>
      <c r="K307" s="1088" t="s">
        <v>30</v>
      </c>
      <c r="L307" s="1090"/>
      <c r="M307" s="1140" t="s">
        <v>31</v>
      </c>
      <c r="N307" s="1141"/>
      <c r="O307" s="1085" t="s">
        <v>28</v>
      </c>
      <c r="P307" s="1087"/>
      <c r="Q307" s="1085" t="s">
        <v>29</v>
      </c>
      <c r="R307" s="1087"/>
      <c r="S307" s="1088" t="s">
        <v>30</v>
      </c>
      <c r="T307" s="1090"/>
      <c r="U307" s="1085" t="s">
        <v>32</v>
      </c>
      <c r="V307" s="1089"/>
      <c r="W307" s="1105" t="s">
        <v>33</v>
      </c>
      <c r="X307" s="1149"/>
      <c r="Y307" s="1106"/>
      <c r="Z307" s="1105" t="s">
        <v>175</v>
      </c>
      <c r="AA307" s="1106"/>
    </row>
    <row r="308" spans="2:27" ht="17.25" customHeight="1" x14ac:dyDescent="0.15">
      <c r="B308" s="1458">
        <f>IF($I$27="","",$I$27)</f>
        <v>45566</v>
      </c>
      <c r="C308" s="1459"/>
      <c r="D308" s="1459"/>
      <c r="E308" s="1459"/>
      <c r="F308" s="1460"/>
      <c r="G308" s="463">
        <v>0</v>
      </c>
      <c r="H308" s="464"/>
      <c r="I308" s="463">
        <v>0</v>
      </c>
      <c r="J308" s="464"/>
      <c r="K308" s="427">
        <f>IF(B308="","",IF(I308&lt;1,0,ROUND(G308/I308,2)))</f>
        <v>0</v>
      </c>
      <c r="L308" s="428"/>
      <c r="M308" s="429">
        <f>IF(B308="","",ROUND(SUM(K308:L310)/3,3))</f>
        <v>0</v>
      </c>
      <c r="N308" s="430"/>
      <c r="O308" s="463">
        <v>0</v>
      </c>
      <c r="P308" s="464"/>
      <c r="Q308" s="463">
        <v>0</v>
      </c>
      <c r="R308" s="464"/>
      <c r="S308" s="427">
        <f>IF(B308="","",IF(Q308&lt;1,0,ROUND(O308/Q308,2)))</f>
        <v>0</v>
      </c>
      <c r="T308" s="428"/>
      <c r="U308" s="429">
        <f>IF(B308="","",ROUND(SUM(S308:T310)/3,3))</f>
        <v>0</v>
      </c>
      <c r="V308" s="465"/>
      <c r="W308" s="1142">
        <f>IF(B308="","",IF(U308=0,0,ROUND(M308/U308,2)))</f>
        <v>0</v>
      </c>
      <c r="X308" s="1120"/>
      <c r="Y308" s="1143"/>
      <c r="Z308" s="421" t="s">
        <v>267</v>
      </c>
      <c r="AA308" s="422"/>
    </row>
    <row r="309" spans="2:27" ht="17.25" customHeight="1" x14ac:dyDescent="0.15">
      <c r="B309" s="1458">
        <f>IF($I$27="","",DATE(YEAR($I$27)-1,MONTH($I$27),DAY($I$27)))</f>
        <v>45200</v>
      </c>
      <c r="C309" s="1459"/>
      <c r="D309" s="1459"/>
      <c r="E309" s="1459"/>
      <c r="F309" s="1460"/>
      <c r="G309" s="463">
        <v>0</v>
      </c>
      <c r="H309" s="464"/>
      <c r="I309" s="463">
        <v>0</v>
      </c>
      <c r="J309" s="464"/>
      <c r="K309" s="427">
        <f t="shared" ref="K309" si="26">IF(B309="","",IF(I309&lt;1,0,ROUND(G309/I309,2)))</f>
        <v>0</v>
      </c>
      <c r="L309" s="428"/>
      <c r="M309" s="431"/>
      <c r="N309" s="432"/>
      <c r="O309" s="463">
        <v>0</v>
      </c>
      <c r="P309" s="464"/>
      <c r="Q309" s="463">
        <v>0</v>
      </c>
      <c r="R309" s="464"/>
      <c r="S309" s="427">
        <f t="shared" ref="S309:S310" si="27">IF(B309="","",IF(Q309&lt;1,0,ROUND(O309/Q309,2)))</f>
        <v>0</v>
      </c>
      <c r="T309" s="428"/>
      <c r="U309" s="431"/>
      <c r="V309" s="466"/>
      <c r="W309" s="1144"/>
      <c r="X309" s="1123"/>
      <c r="Y309" s="1145"/>
      <c r="Z309" s="423"/>
      <c r="AA309" s="424"/>
    </row>
    <row r="310" spans="2:27" ht="17.25" customHeight="1" thickBot="1" x14ac:dyDescent="0.2">
      <c r="B310" s="1458">
        <f>IF($I$27="","",DATE(YEAR($I$27)-2,MONTH($I$27),DAY($I$27)))</f>
        <v>44835</v>
      </c>
      <c r="C310" s="1459"/>
      <c r="D310" s="1459"/>
      <c r="E310" s="1459"/>
      <c r="F310" s="1460"/>
      <c r="G310" s="463">
        <v>0</v>
      </c>
      <c r="H310" s="464"/>
      <c r="I310" s="463">
        <v>0</v>
      </c>
      <c r="J310" s="464"/>
      <c r="K310" s="427">
        <f>IF(B310="","",IF(I310&lt;1,0,ROUND(G310/I310,2)))</f>
        <v>0</v>
      </c>
      <c r="L310" s="428"/>
      <c r="M310" s="433"/>
      <c r="N310" s="434"/>
      <c r="O310" s="463">
        <v>0</v>
      </c>
      <c r="P310" s="464"/>
      <c r="Q310" s="463">
        <v>0</v>
      </c>
      <c r="R310" s="464"/>
      <c r="S310" s="427">
        <f t="shared" si="27"/>
        <v>0</v>
      </c>
      <c r="T310" s="428"/>
      <c r="U310" s="433"/>
      <c r="V310" s="467"/>
      <c r="W310" s="1146"/>
      <c r="X310" s="1147"/>
      <c r="Y310" s="1148"/>
      <c r="Z310" s="425"/>
      <c r="AA310" s="426"/>
    </row>
    <row r="311" spans="2:27" ht="17.25" customHeight="1" thickTop="1" x14ac:dyDescent="0.15">
      <c r="AA311" s="165" t="str">
        <f>IF(G23="","",IF(Z308="","リストから選択↑　",""))</f>
        <v/>
      </c>
    </row>
    <row r="312" spans="2:27" ht="17.25" customHeight="1" x14ac:dyDescent="0.15">
      <c r="B312" s="172" t="s">
        <v>202</v>
      </c>
    </row>
    <row r="313" spans="2:27" ht="17.25" customHeight="1" x14ac:dyDescent="0.15">
      <c r="G313" s="1137" t="s">
        <v>40</v>
      </c>
      <c r="H313" s="1138"/>
      <c r="I313" s="1138"/>
      <c r="J313" s="1138"/>
      <c r="K313" s="1138"/>
      <c r="L313" s="1138"/>
      <c r="M313" s="1138"/>
      <c r="N313" s="1139"/>
      <c r="O313" s="1137" t="s">
        <v>41</v>
      </c>
      <c r="P313" s="1138"/>
      <c r="Q313" s="1138"/>
      <c r="R313" s="1138"/>
      <c r="S313" s="1138"/>
      <c r="T313" s="1138"/>
      <c r="U313" s="1138"/>
      <c r="V313" s="1139"/>
    </row>
    <row r="314" spans="2:27" s="172" customFormat="1" ht="54" customHeight="1" x14ac:dyDescent="0.15">
      <c r="B314" s="1085" t="s">
        <v>218</v>
      </c>
      <c r="C314" s="1089"/>
      <c r="D314" s="1089"/>
      <c r="E314" s="1089"/>
      <c r="F314" s="1090"/>
      <c r="G314" s="1085" t="s">
        <v>28</v>
      </c>
      <c r="H314" s="1087"/>
      <c r="I314" s="1085" t="s">
        <v>29</v>
      </c>
      <c r="J314" s="1087"/>
      <c r="K314" s="1088" t="s">
        <v>30</v>
      </c>
      <c r="L314" s="1090"/>
      <c r="M314" s="1140" t="s">
        <v>31</v>
      </c>
      <c r="N314" s="1141"/>
      <c r="O314" s="1085" t="s">
        <v>28</v>
      </c>
      <c r="P314" s="1087"/>
      <c r="Q314" s="1085" t="s">
        <v>29</v>
      </c>
      <c r="R314" s="1087"/>
      <c r="S314" s="1088" t="s">
        <v>30</v>
      </c>
      <c r="T314" s="1090"/>
      <c r="U314" s="1085" t="s">
        <v>32</v>
      </c>
      <c r="V314" s="1089"/>
      <c r="W314" s="1085" t="s">
        <v>33</v>
      </c>
      <c r="X314" s="1089"/>
      <c r="Y314" s="1090"/>
      <c r="Z314" s="171"/>
      <c r="AA314" s="171"/>
    </row>
    <row r="315" spans="2:27" ht="17.25" customHeight="1" x14ac:dyDescent="0.15">
      <c r="B315" s="1069" t="s">
        <v>193</v>
      </c>
      <c r="C315" s="1071"/>
      <c r="D315" s="1461">
        <f>IF(OR($Z$308="非該当",$Z$308="算出不能"),DATE(YEAR($I$27)-1,MONTH($I$27),DAY($I$27)),"")</f>
        <v>45200</v>
      </c>
      <c r="E315" s="1462"/>
      <c r="F315" s="1463"/>
      <c r="G315" s="318">
        <f>IF($D$315="","",G309)</f>
        <v>0</v>
      </c>
      <c r="H315" s="319"/>
      <c r="I315" s="318">
        <f>IF($D$315="","",I309)</f>
        <v>0</v>
      </c>
      <c r="J315" s="319"/>
      <c r="K315" s="427">
        <f>IF(D315="","",IF(I315&lt;1,0,ROUND(G315/I315,2)))</f>
        <v>0</v>
      </c>
      <c r="L315" s="428"/>
      <c r="M315" s="429">
        <f>IF(D315="","",ROUND(SUM(K315:L317)/3,3))</f>
        <v>0</v>
      </c>
      <c r="N315" s="430"/>
      <c r="O315" s="318">
        <f>IF($D$315="","",O309)</f>
        <v>0</v>
      </c>
      <c r="P315" s="319"/>
      <c r="Q315" s="318">
        <f>IF($D$315="","",Q309)</f>
        <v>0</v>
      </c>
      <c r="R315" s="319"/>
      <c r="S315" s="427">
        <f>IF(D315="","",IF(Q315&lt;1,0,ROUND(O315/Q315,2)))</f>
        <v>0</v>
      </c>
      <c r="T315" s="428"/>
      <c r="U315" s="429">
        <f>IF(D315="","",ROUND(SUM(S315:T317)/3,3))</f>
        <v>0</v>
      </c>
      <c r="V315" s="430"/>
      <c r="W315" s="1119">
        <f>IF(D315="","",IF(U315=0,0,ROUND(M315/U315,2)))</f>
        <v>0</v>
      </c>
      <c r="X315" s="1120"/>
      <c r="Y315" s="1121"/>
    </row>
    <row r="316" spans="2:27" ht="17.25" customHeight="1" x14ac:dyDescent="0.15">
      <c r="B316" s="1131"/>
      <c r="C316" s="1132"/>
      <c r="D316" s="1461">
        <f>IF(OR($Z$308="非該当",$Z$308="算出不能"),DATE(YEAR($I$27)-2,MONTH($I$27),DAY($I$27)),"")</f>
        <v>44835</v>
      </c>
      <c r="E316" s="1462"/>
      <c r="F316" s="1463"/>
      <c r="G316" s="318">
        <f>IF($D$315="","",G310)</f>
        <v>0</v>
      </c>
      <c r="H316" s="319"/>
      <c r="I316" s="318">
        <f>IF($D$315="","",I310)</f>
        <v>0</v>
      </c>
      <c r="J316" s="319"/>
      <c r="K316" s="427">
        <f t="shared" ref="K316:K320" si="28">IF(D316="","",IF(I316&lt;1,0,ROUND(G316/I316,2)))</f>
        <v>0</v>
      </c>
      <c r="L316" s="428"/>
      <c r="M316" s="431"/>
      <c r="N316" s="432"/>
      <c r="O316" s="318">
        <f>IF($D$315="","",O310)</f>
        <v>0</v>
      </c>
      <c r="P316" s="319"/>
      <c r="Q316" s="318">
        <f>IF($D$315="","",Q310)</f>
        <v>0</v>
      </c>
      <c r="R316" s="319"/>
      <c r="S316" s="427">
        <f t="shared" ref="S316:S320" si="29">IF(D316="","",IF(Q316&lt;1,0,ROUND(O316/Q316,2)))</f>
        <v>0</v>
      </c>
      <c r="T316" s="428"/>
      <c r="U316" s="431"/>
      <c r="V316" s="432"/>
      <c r="W316" s="1122"/>
      <c r="X316" s="1123"/>
      <c r="Y316" s="1124"/>
    </row>
    <row r="317" spans="2:27" ht="17.25" customHeight="1" x14ac:dyDescent="0.15">
      <c r="B317" s="1133"/>
      <c r="C317" s="1134"/>
      <c r="D317" s="1461">
        <f>IF(OR($Z$308="非該当",$Z$308="算出不能"),DATE(YEAR($I$27)-3,MONTH($I$27),DAY($I$27)),"")</f>
        <v>44470</v>
      </c>
      <c r="E317" s="1462"/>
      <c r="F317" s="1463"/>
      <c r="G317" s="318">
        <v>0</v>
      </c>
      <c r="H317" s="319"/>
      <c r="I317" s="318">
        <v>0</v>
      </c>
      <c r="J317" s="319"/>
      <c r="K317" s="427">
        <f t="shared" si="28"/>
        <v>0</v>
      </c>
      <c r="L317" s="428"/>
      <c r="M317" s="433"/>
      <c r="N317" s="434"/>
      <c r="O317" s="318">
        <v>0</v>
      </c>
      <c r="P317" s="319"/>
      <c r="Q317" s="318">
        <v>0</v>
      </c>
      <c r="R317" s="319"/>
      <c r="S317" s="427">
        <f t="shared" si="29"/>
        <v>0</v>
      </c>
      <c r="T317" s="428"/>
      <c r="U317" s="433"/>
      <c r="V317" s="434"/>
      <c r="W317" s="1125"/>
      <c r="X317" s="1126"/>
      <c r="Y317" s="1127"/>
    </row>
    <row r="318" spans="2:27" ht="17.25" customHeight="1" x14ac:dyDescent="0.15">
      <c r="B318" s="1069" t="s">
        <v>46</v>
      </c>
      <c r="C318" s="1071"/>
      <c r="D318" s="1461">
        <f>IF(OR($Z$308="非該当",$Z$308="算出不能"),DATE(YEAR($I$27)-2,MONTH($I$27),DAY($I$27)),"")</f>
        <v>44835</v>
      </c>
      <c r="E318" s="1462"/>
      <c r="F318" s="1463"/>
      <c r="G318" s="1135">
        <f>IF($D$318="","",G316)</f>
        <v>0</v>
      </c>
      <c r="H318" s="1136"/>
      <c r="I318" s="1135">
        <f>IF($D$318="","",I316)</f>
        <v>0</v>
      </c>
      <c r="J318" s="1136"/>
      <c r="K318" s="427">
        <f t="shared" si="28"/>
        <v>0</v>
      </c>
      <c r="L318" s="428"/>
      <c r="M318" s="429">
        <f>IF(D318="","",ROUND(SUM(K318:L320)/3,3))</f>
        <v>0</v>
      </c>
      <c r="N318" s="430"/>
      <c r="O318" s="1135">
        <f>IF($D$318="","",O316)</f>
        <v>0</v>
      </c>
      <c r="P318" s="1136"/>
      <c r="Q318" s="1135">
        <f>IF($D$318="","",Q316)</f>
        <v>0</v>
      </c>
      <c r="R318" s="1136"/>
      <c r="S318" s="427">
        <f t="shared" si="29"/>
        <v>0</v>
      </c>
      <c r="T318" s="428"/>
      <c r="U318" s="429">
        <f>IF(D318="","",ROUND(SUM(S318:T320)/3,3))</f>
        <v>0</v>
      </c>
      <c r="V318" s="430"/>
      <c r="W318" s="1119">
        <f>IF(D318="","",IF(U318=0,0,ROUND(M318/U318,2)))</f>
        <v>0</v>
      </c>
      <c r="X318" s="1120"/>
      <c r="Y318" s="1121"/>
    </row>
    <row r="319" spans="2:27" ht="17.25" customHeight="1" x14ac:dyDescent="0.15">
      <c r="B319" s="1131"/>
      <c r="C319" s="1132"/>
      <c r="D319" s="1461">
        <f>IF(OR($Z$308="非該当",$Z$308="算出不能"),DATE(YEAR($I$27)-3,MONTH($I$27),DAY($I$27)),"")</f>
        <v>44470</v>
      </c>
      <c r="E319" s="1462"/>
      <c r="F319" s="1463"/>
      <c r="G319" s="1044">
        <f>IF($D$318="","",G317)</f>
        <v>0</v>
      </c>
      <c r="H319" s="1045"/>
      <c r="I319" s="1044">
        <f>IF($D$318="","",I317)</f>
        <v>0</v>
      </c>
      <c r="J319" s="1045"/>
      <c r="K319" s="427">
        <f t="shared" si="28"/>
        <v>0</v>
      </c>
      <c r="L319" s="428"/>
      <c r="M319" s="431"/>
      <c r="N319" s="432"/>
      <c r="O319" s="1044">
        <f>IF($D$318="","",O317)</f>
        <v>0</v>
      </c>
      <c r="P319" s="1045"/>
      <c r="Q319" s="1044">
        <f>IF($D$318="","",Q317)</f>
        <v>0</v>
      </c>
      <c r="R319" s="1045"/>
      <c r="S319" s="427">
        <f t="shared" si="29"/>
        <v>0</v>
      </c>
      <c r="T319" s="428"/>
      <c r="U319" s="431"/>
      <c r="V319" s="432"/>
      <c r="W319" s="1122"/>
      <c r="X319" s="1123"/>
      <c r="Y319" s="1124"/>
    </row>
    <row r="320" spans="2:27" ht="17.25" customHeight="1" x14ac:dyDescent="0.15">
      <c r="B320" s="1133"/>
      <c r="C320" s="1134"/>
      <c r="D320" s="1461">
        <f>IF(OR($Z$308="非該当",$Z$308="算出不能"),DATE(YEAR($I$27)-4,MONTH($I$27),DAY($I$27)),"")</f>
        <v>44105</v>
      </c>
      <c r="E320" s="1462"/>
      <c r="F320" s="1463"/>
      <c r="G320" s="318">
        <v>0</v>
      </c>
      <c r="H320" s="319"/>
      <c r="I320" s="318">
        <v>0</v>
      </c>
      <c r="J320" s="319"/>
      <c r="K320" s="427">
        <f t="shared" si="28"/>
        <v>0</v>
      </c>
      <c r="L320" s="428"/>
      <c r="M320" s="433"/>
      <c r="N320" s="434"/>
      <c r="O320" s="318">
        <v>0</v>
      </c>
      <c r="P320" s="319"/>
      <c r="Q320" s="318">
        <v>0</v>
      </c>
      <c r="R320" s="319"/>
      <c r="S320" s="427">
        <f t="shared" si="29"/>
        <v>0</v>
      </c>
      <c r="T320" s="428"/>
      <c r="U320" s="433"/>
      <c r="V320" s="434"/>
      <c r="W320" s="1125"/>
      <c r="X320" s="1126"/>
      <c r="Y320" s="1127"/>
    </row>
    <row r="321" spans="2:27" ht="17.25" customHeight="1" x14ac:dyDescent="0.15"/>
    <row r="322" spans="2:27" ht="30.75" customHeight="1" x14ac:dyDescent="0.15">
      <c r="B322" s="211" t="s">
        <v>203</v>
      </c>
      <c r="H322" s="211"/>
      <c r="AA322" s="212" t="str">
        <f>IF(G$23="","",G$23)</f>
        <v>株式会社参画企画</v>
      </c>
    </row>
    <row r="323" spans="2:27" s="176" customFormat="1" ht="17.25" customHeight="1" x14ac:dyDescent="0.15">
      <c r="B323" s="1107" t="s">
        <v>151</v>
      </c>
      <c r="C323" s="1108"/>
      <c r="D323" s="1108"/>
      <c r="E323" s="1108"/>
      <c r="F323" s="1108"/>
      <c r="G323" s="1108"/>
      <c r="H323" s="1108"/>
      <c r="I323" s="1108"/>
      <c r="J323" s="1108"/>
      <c r="K323" s="1108"/>
      <c r="L323" s="1108"/>
      <c r="M323" s="1108"/>
      <c r="N323" s="1108"/>
      <c r="O323" s="1108"/>
      <c r="P323" s="1108"/>
      <c r="Q323" s="1108"/>
      <c r="R323" s="1108"/>
      <c r="S323" s="1108"/>
      <c r="T323" s="1108"/>
      <c r="U323" s="1108"/>
      <c r="V323" s="1108"/>
      <c r="W323" s="1108"/>
      <c r="X323" s="1108"/>
      <c r="Y323" s="1108"/>
      <c r="Z323" s="1108"/>
      <c r="AA323" s="1109"/>
    </row>
    <row r="324" spans="2:27" s="176" customFormat="1" ht="17.25" customHeight="1" x14ac:dyDescent="0.15">
      <c r="B324" s="1110" t="s">
        <v>137</v>
      </c>
      <c r="C324" s="1111"/>
      <c r="D324" s="1111"/>
      <c r="E324" s="1111"/>
      <c r="F324" s="1111"/>
      <c r="G324" s="1111"/>
      <c r="H324" s="1111"/>
      <c r="I324" s="1111"/>
      <c r="J324" s="1111"/>
      <c r="K324" s="1111"/>
      <c r="L324" s="1111"/>
      <c r="M324" s="1111"/>
      <c r="N324" s="1111"/>
      <c r="O324" s="1111"/>
      <c r="P324" s="1111"/>
      <c r="Q324" s="1111"/>
      <c r="R324" s="1111"/>
      <c r="S324" s="1111"/>
      <c r="T324" s="1111"/>
      <c r="U324" s="1111"/>
      <c r="V324" s="1111"/>
      <c r="W324" s="1111"/>
      <c r="X324" s="1111"/>
      <c r="Y324" s="1111"/>
      <c r="Z324" s="1111"/>
      <c r="AA324" s="1112"/>
    </row>
    <row r="325" spans="2:27" ht="17.25" customHeight="1" x14ac:dyDescent="0.15">
      <c r="B325" s="1113" t="s">
        <v>138</v>
      </c>
      <c r="C325" s="1114"/>
      <c r="D325" s="1114"/>
      <c r="E325" s="1114"/>
      <c r="F325" s="1114"/>
      <c r="G325" s="1114"/>
      <c r="H325" s="1114"/>
      <c r="I325" s="1114"/>
      <c r="J325" s="1114"/>
      <c r="K325" s="1114"/>
      <c r="L325" s="1114"/>
      <c r="M325" s="1114"/>
      <c r="N325" s="1114"/>
      <c r="O325" s="1114"/>
      <c r="P325" s="1114"/>
      <c r="Q325" s="1114"/>
      <c r="R325" s="1114"/>
      <c r="S325" s="1114"/>
      <c r="T325" s="1114"/>
      <c r="U325" s="1114"/>
      <c r="V325" s="1114"/>
      <c r="W325" s="1114"/>
      <c r="X325" s="1114"/>
      <c r="Y325" s="1114"/>
      <c r="Z325" s="1114"/>
      <c r="AA325" s="1115"/>
    </row>
    <row r="326" spans="2:27" ht="17.25" customHeight="1" x14ac:dyDescent="0.15">
      <c r="B326" s="1113" t="s">
        <v>139</v>
      </c>
      <c r="C326" s="1114"/>
      <c r="D326" s="1114"/>
      <c r="E326" s="1114"/>
      <c r="F326" s="1114"/>
      <c r="G326" s="1114"/>
      <c r="H326" s="1114"/>
      <c r="I326" s="1114"/>
      <c r="J326" s="1114"/>
      <c r="K326" s="1114"/>
      <c r="L326" s="1114"/>
      <c r="M326" s="1114"/>
      <c r="N326" s="1114"/>
      <c r="O326" s="1114"/>
      <c r="P326" s="1114"/>
      <c r="Q326" s="1114"/>
      <c r="R326" s="1114"/>
      <c r="S326" s="1114"/>
      <c r="T326" s="1114"/>
      <c r="U326" s="1114"/>
      <c r="V326" s="1114"/>
      <c r="W326" s="1114"/>
      <c r="X326" s="1114"/>
      <c r="Y326" s="1114"/>
      <c r="Z326" s="1114"/>
      <c r="AA326" s="1115"/>
    </row>
    <row r="327" spans="2:27" ht="17.25" customHeight="1" x14ac:dyDescent="0.15">
      <c r="B327" s="1113" t="s">
        <v>140</v>
      </c>
      <c r="C327" s="1114"/>
      <c r="D327" s="1114"/>
      <c r="E327" s="1114"/>
      <c r="F327" s="1114"/>
      <c r="G327" s="1114"/>
      <c r="H327" s="1114"/>
      <c r="I327" s="1114"/>
      <c r="J327" s="1114"/>
      <c r="K327" s="1114"/>
      <c r="L327" s="1114"/>
      <c r="M327" s="1114"/>
      <c r="N327" s="1114"/>
      <c r="O327" s="1114"/>
      <c r="P327" s="1114"/>
      <c r="Q327" s="1114"/>
      <c r="R327" s="1114"/>
      <c r="S327" s="1114"/>
      <c r="T327" s="1114"/>
      <c r="U327" s="1114"/>
      <c r="V327" s="1114"/>
      <c r="W327" s="1114"/>
      <c r="X327" s="1114"/>
      <c r="Y327" s="1114"/>
      <c r="Z327" s="1114"/>
      <c r="AA327" s="1115"/>
    </row>
    <row r="328" spans="2:27" ht="17.25" customHeight="1" x14ac:dyDescent="0.15">
      <c r="B328" s="1116" t="s">
        <v>141</v>
      </c>
      <c r="C328" s="1117"/>
      <c r="D328" s="1117"/>
      <c r="E328" s="1117"/>
      <c r="F328" s="1117"/>
      <c r="G328" s="1117"/>
      <c r="H328" s="1117"/>
      <c r="I328" s="1117"/>
      <c r="J328" s="1117"/>
      <c r="K328" s="1117"/>
      <c r="L328" s="1117"/>
      <c r="M328" s="1117"/>
      <c r="N328" s="1117"/>
      <c r="O328" s="1117"/>
      <c r="P328" s="1117"/>
      <c r="Q328" s="1117"/>
      <c r="R328" s="1117"/>
      <c r="S328" s="1117"/>
      <c r="T328" s="1117"/>
      <c r="U328" s="1117"/>
      <c r="V328" s="1117"/>
      <c r="W328" s="1117"/>
      <c r="X328" s="1117"/>
      <c r="Y328" s="1117"/>
      <c r="Z328" s="1117"/>
      <c r="AA328" s="1118"/>
    </row>
    <row r="329" spans="2:27" ht="17.25" customHeight="1" x14ac:dyDescent="0.15"/>
    <row r="330" spans="2:27" ht="17.25" customHeight="1" thickBot="1" x14ac:dyDescent="0.2">
      <c r="B330" s="232" t="s">
        <v>34</v>
      </c>
    </row>
    <row r="331" spans="2:27" s="172" customFormat="1" ht="47.25" customHeight="1" thickTop="1" x14ac:dyDescent="0.15">
      <c r="B331" s="1088" t="s">
        <v>68</v>
      </c>
      <c r="C331" s="1089"/>
      <c r="D331" s="1089"/>
      <c r="E331" s="1089"/>
      <c r="F331" s="1090"/>
      <c r="G331" s="1085" t="s">
        <v>219</v>
      </c>
      <c r="H331" s="1086"/>
      <c r="I331" s="1086"/>
      <c r="J331" s="1087"/>
      <c r="K331" s="1085" t="s">
        <v>142</v>
      </c>
      <c r="L331" s="1086"/>
      <c r="M331" s="1086"/>
      <c r="N331" s="1087"/>
      <c r="O331" s="1085" t="s">
        <v>143</v>
      </c>
      <c r="P331" s="1086"/>
      <c r="Q331" s="1086"/>
      <c r="R331" s="1087"/>
      <c r="S331" s="1085" t="s">
        <v>144</v>
      </c>
      <c r="T331" s="1086"/>
      <c r="U331" s="1086"/>
      <c r="V331" s="1087"/>
      <c r="W331" s="1088" t="s">
        <v>54</v>
      </c>
      <c r="X331" s="1089"/>
      <c r="Y331" s="1089"/>
      <c r="Z331" s="1105" t="s">
        <v>36</v>
      </c>
      <c r="AA331" s="1106"/>
    </row>
    <row r="332" spans="2:27" ht="17.25" customHeight="1" x14ac:dyDescent="0.15">
      <c r="B332" s="1458">
        <f>IF($I$27="","",$I$27)</f>
        <v>45566</v>
      </c>
      <c r="C332" s="1459"/>
      <c r="D332" s="1459"/>
      <c r="E332" s="1459"/>
      <c r="F332" s="1460"/>
      <c r="G332" s="913">
        <v>0</v>
      </c>
      <c r="H332" s="914"/>
      <c r="I332" s="914"/>
      <c r="J332" s="915"/>
      <c r="K332" s="913">
        <v>0</v>
      </c>
      <c r="L332" s="914"/>
      <c r="M332" s="914"/>
      <c r="N332" s="915"/>
      <c r="O332" s="913">
        <v>0</v>
      </c>
      <c r="P332" s="914"/>
      <c r="Q332" s="914"/>
      <c r="R332" s="915"/>
      <c r="S332" s="913">
        <v>1</v>
      </c>
      <c r="T332" s="914"/>
      <c r="U332" s="914"/>
      <c r="V332" s="915"/>
      <c r="W332" s="1082">
        <f>IF(B332="","",SUM(G332:V332))</f>
        <v>1</v>
      </c>
      <c r="X332" s="1083"/>
      <c r="Y332" s="1083"/>
      <c r="Z332" s="421" t="s">
        <v>269</v>
      </c>
      <c r="AA332" s="422"/>
    </row>
    <row r="333" spans="2:27" ht="17.25" customHeight="1" x14ac:dyDescent="0.15">
      <c r="B333" s="1458">
        <f>IF($I$27="","",DATE(YEAR($I$27)-1,MONTH($I$27),DAY($I$27)))</f>
        <v>45200</v>
      </c>
      <c r="C333" s="1459"/>
      <c r="D333" s="1459"/>
      <c r="E333" s="1459"/>
      <c r="F333" s="1460"/>
      <c r="G333" s="913">
        <v>0</v>
      </c>
      <c r="H333" s="914"/>
      <c r="I333" s="914"/>
      <c r="J333" s="915"/>
      <c r="K333" s="913">
        <v>0</v>
      </c>
      <c r="L333" s="914"/>
      <c r="M333" s="914"/>
      <c r="N333" s="915"/>
      <c r="O333" s="913">
        <v>0</v>
      </c>
      <c r="P333" s="914"/>
      <c r="Q333" s="914"/>
      <c r="R333" s="915"/>
      <c r="S333" s="913">
        <v>0</v>
      </c>
      <c r="T333" s="914"/>
      <c r="U333" s="914"/>
      <c r="V333" s="915"/>
      <c r="W333" s="1082">
        <f>IF(B333="","",SUM(G333:V333))</f>
        <v>0</v>
      </c>
      <c r="X333" s="1083"/>
      <c r="Y333" s="1083"/>
      <c r="Z333" s="423"/>
      <c r="AA333" s="424"/>
    </row>
    <row r="334" spans="2:27" ht="17.25" customHeight="1" thickBot="1" x14ac:dyDescent="0.2">
      <c r="B334" s="1458">
        <f>IF($I$27="","",DATE(YEAR($I$27)-2,MONTH($I$27),DAY($I$27)))</f>
        <v>44835</v>
      </c>
      <c r="C334" s="1459"/>
      <c r="D334" s="1459"/>
      <c r="E334" s="1459"/>
      <c r="F334" s="1460"/>
      <c r="G334" s="913">
        <v>0</v>
      </c>
      <c r="H334" s="914"/>
      <c r="I334" s="914"/>
      <c r="J334" s="915"/>
      <c r="K334" s="913">
        <v>0</v>
      </c>
      <c r="L334" s="914"/>
      <c r="M334" s="914"/>
      <c r="N334" s="915"/>
      <c r="O334" s="913">
        <v>0</v>
      </c>
      <c r="P334" s="914"/>
      <c r="Q334" s="914"/>
      <c r="R334" s="915"/>
      <c r="S334" s="913">
        <v>1</v>
      </c>
      <c r="T334" s="914"/>
      <c r="U334" s="914"/>
      <c r="V334" s="915"/>
      <c r="W334" s="1103">
        <f>IF(B334="","",SUM(G334:V334))</f>
        <v>1</v>
      </c>
      <c r="X334" s="1104"/>
      <c r="Y334" s="1104"/>
      <c r="Z334" s="423"/>
      <c r="AA334" s="424"/>
    </row>
    <row r="335" spans="2:27" ht="17.25" customHeight="1" thickTop="1" thickBot="1" x14ac:dyDescent="0.2">
      <c r="B335" s="1091" t="s">
        <v>42</v>
      </c>
      <c r="C335" s="1092"/>
      <c r="D335" s="1092"/>
      <c r="E335" s="1092"/>
      <c r="F335" s="1093"/>
      <c r="G335" s="1094">
        <f>IF($B$332="","",SUM(G332:J334))</f>
        <v>0</v>
      </c>
      <c r="H335" s="1095"/>
      <c r="I335" s="1095"/>
      <c r="J335" s="1096"/>
      <c r="K335" s="1094">
        <f>IF($B$332="","",SUM(K332:N334))</f>
        <v>0</v>
      </c>
      <c r="L335" s="1095"/>
      <c r="M335" s="1095"/>
      <c r="N335" s="1096"/>
      <c r="O335" s="1094">
        <f>IF($B$332="","",SUM(O332:R334))</f>
        <v>0</v>
      </c>
      <c r="P335" s="1095"/>
      <c r="Q335" s="1095"/>
      <c r="R335" s="1096"/>
      <c r="S335" s="1094">
        <f>IF($B$332="","",SUM(S332:V334))</f>
        <v>2</v>
      </c>
      <c r="T335" s="1095"/>
      <c r="U335" s="1095"/>
      <c r="V335" s="1097"/>
      <c r="W335" s="1098">
        <f>IF($B$332="","Ａ　　　　",SUM(W332:Y334))</f>
        <v>2</v>
      </c>
      <c r="X335" s="1099"/>
      <c r="Y335" s="1099"/>
      <c r="Z335" s="425"/>
      <c r="AA335" s="426"/>
    </row>
    <row r="336" spans="2:27" ht="17.25" customHeight="1" thickTop="1" x14ac:dyDescent="0.15">
      <c r="W336" s="165"/>
      <c r="AA336" s="165" t="str">
        <f>IF(G23="","",IF(Z332="","リストから選択↑　",""))</f>
        <v/>
      </c>
    </row>
    <row r="337" spans="2:30" ht="17.25" customHeight="1" x14ac:dyDescent="0.15">
      <c r="B337" s="172" t="s">
        <v>177</v>
      </c>
    </row>
    <row r="338" spans="2:30" s="172" customFormat="1" ht="47.25" customHeight="1" x14ac:dyDescent="0.15">
      <c r="B338" s="1085" t="s">
        <v>69</v>
      </c>
      <c r="C338" s="1086"/>
      <c r="D338" s="1086"/>
      <c r="E338" s="1086"/>
      <c r="F338" s="1087"/>
      <c r="G338" s="1085" t="s">
        <v>219</v>
      </c>
      <c r="H338" s="1086"/>
      <c r="I338" s="1086"/>
      <c r="J338" s="1087"/>
      <c r="K338" s="1085" t="s">
        <v>142</v>
      </c>
      <c r="L338" s="1086"/>
      <c r="M338" s="1086"/>
      <c r="N338" s="1087"/>
      <c r="O338" s="1085" t="s">
        <v>143</v>
      </c>
      <c r="P338" s="1086"/>
      <c r="Q338" s="1086"/>
      <c r="R338" s="1087"/>
      <c r="S338" s="1085" t="s">
        <v>144</v>
      </c>
      <c r="T338" s="1086"/>
      <c r="U338" s="1086"/>
      <c r="V338" s="1087"/>
      <c r="W338" s="1088" t="s">
        <v>54</v>
      </c>
      <c r="X338" s="1089"/>
      <c r="Y338" s="1090"/>
      <c r="Z338" s="171"/>
      <c r="AA338" s="171"/>
    </row>
    <row r="339" spans="2:30" ht="17.25" customHeight="1" x14ac:dyDescent="0.15">
      <c r="B339" s="1455" t="str">
        <f>IF($Z$332="非該当",DATE(YEAR($I$27)-3,MONTH($I$27),DAY($I$27)),"")</f>
        <v/>
      </c>
      <c r="C339" s="1456"/>
      <c r="D339" s="1456"/>
      <c r="E339" s="1456"/>
      <c r="F339" s="1457"/>
      <c r="G339" s="917"/>
      <c r="H339" s="918"/>
      <c r="I339" s="918"/>
      <c r="J339" s="919"/>
      <c r="K339" s="917"/>
      <c r="L339" s="918"/>
      <c r="M339" s="918"/>
      <c r="N339" s="919"/>
      <c r="O339" s="917"/>
      <c r="P339" s="918"/>
      <c r="Q339" s="918"/>
      <c r="R339" s="919"/>
      <c r="S339" s="917"/>
      <c r="T339" s="918"/>
      <c r="U339" s="918"/>
      <c r="V339" s="919"/>
      <c r="W339" s="1082" t="str">
        <f>IF(B339="","",SUM(G339:V339))</f>
        <v/>
      </c>
      <c r="X339" s="1083"/>
      <c r="Y339" s="1084"/>
    </row>
    <row r="340" spans="2:30" ht="17.25" customHeight="1" x14ac:dyDescent="0.15">
      <c r="B340" s="1455" t="str">
        <f>IF($Z$332="非該当",DATE(YEAR($I$27)-4,MONTH($I$27),DAY($I$27)),"")</f>
        <v/>
      </c>
      <c r="C340" s="1456"/>
      <c r="D340" s="1456"/>
      <c r="E340" s="1456"/>
      <c r="F340" s="1457"/>
      <c r="G340" s="917"/>
      <c r="H340" s="918"/>
      <c r="I340" s="918"/>
      <c r="J340" s="919"/>
      <c r="K340" s="917"/>
      <c r="L340" s="918"/>
      <c r="M340" s="918"/>
      <c r="N340" s="919"/>
      <c r="O340" s="917"/>
      <c r="P340" s="918"/>
      <c r="Q340" s="918"/>
      <c r="R340" s="919"/>
      <c r="S340" s="917"/>
      <c r="T340" s="918"/>
      <c r="U340" s="918"/>
      <c r="V340" s="919"/>
      <c r="W340" s="1082" t="str">
        <f>IF(B340="","",SUM(G340:V340))</f>
        <v/>
      </c>
      <c r="X340" s="1083"/>
      <c r="Y340" s="1084"/>
    </row>
    <row r="341" spans="2:30" ht="17.25" customHeight="1" x14ac:dyDescent="0.15"/>
    <row r="342" spans="2:30" ht="17.25" customHeight="1" x14ac:dyDescent="0.15">
      <c r="B342" s="171" t="s">
        <v>205</v>
      </c>
      <c r="Y342" s="260"/>
      <c r="AA342" s="212" t="str">
        <f>IF(G$23="","",G$23)</f>
        <v>株式会社参画企画</v>
      </c>
    </row>
    <row r="343" spans="2:30" ht="17.25" customHeight="1" x14ac:dyDescent="0.15">
      <c r="B343" s="172" t="s">
        <v>232</v>
      </c>
    </row>
    <row r="344" spans="2:30" ht="27.75" customHeight="1" x14ac:dyDescent="0.15">
      <c r="C344" s="1078" t="s">
        <v>247</v>
      </c>
      <c r="D344" s="1078"/>
      <c r="E344" s="1078"/>
      <c r="F344" s="1078"/>
      <c r="G344" s="1078"/>
      <c r="H344" s="1078"/>
      <c r="I344" s="1078"/>
      <c r="J344" s="1078"/>
      <c r="K344" s="1078"/>
      <c r="L344" s="1078"/>
      <c r="M344" s="1078"/>
      <c r="N344" s="1078"/>
      <c r="O344" s="1078"/>
      <c r="P344" s="1078"/>
      <c r="Q344" s="1078"/>
      <c r="R344" s="1078"/>
      <c r="S344" s="1078"/>
      <c r="T344" s="1078"/>
      <c r="U344" s="1078"/>
      <c r="V344" s="1078"/>
      <c r="W344" s="1078"/>
      <c r="X344" s="1078"/>
      <c r="Y344" s="1078"/>
      <c r="Z344" s="1078"/>
    </row>
    <row r="345" spans="2:30" ht="17.25" customHeight="1" thickBot="1" x14ac:dyDescent="0.2">
      <c r="I345" s="1075" t="s">
        <v>40</v>
      </c>
      <c r="J345" s="1076"/>
      <c r="K345" s="1076"/>
      <c r="L345" s="1076"/>
      <c r="M345" s="1076"/>
      <c r="N345" s="1076"/>
      <c r="O345" s="1076"/>
      <c r="P345" s="1077"/>
      <c r="Q345" s="1075" t="s">
        <v>41</v>
      </c>
      <c r="R345" s="1076"/>
      <c r="S345" s="1076"/>
      <c r="T345" s="1076"/>
      <c r="U345" s="1076"/>
      <c r="V345" s="1076"/>
      <c r="W345" s="1076"/>
      <c r="X345" s="1077"/>
    </row>
    <row r="346" spans="2:30" s="172" customFormat="1" ht="40.5" customHeight="1" thickBot="1" x14ac:dyDescent="0.2">
      <c r="B346" s="1069" t="s">
        <v>0</v>
      </c>
      <c r="C346" s="1070"/>
      <c r="D346" s="1071"/>
      <c r="F346" s="1072" t="s">
        <v>230</v>
      </c>
      <c r="G346" s="1065"/>
      <c r="H346" s="1073"/>
      <c r="I346" s="1064" t="s">
        <v>221</v>
      </c>
      <c r="J346" s="1066"/>
      <c r="K346" s="1061" t="s">
        <v>180</v>
      </c>
      <c r="L346" s="1062"/>
      <c r="M346" s="1062"/>
      <c r="N346" s="1063"/>
      <c r="O346" s="1064" t="s">
        <v>181</v>
      </c>
      <c r="P346" s="1073"/>
      <c r="Q346" s="1064" t="s">
        <v>221</v>
      </c>
      <c r="R346" s="1074"/>
      <c r="S346" s="1061" t="s">
        <v>180</v>
      </c>
      <c r="T346" s="1062"/>
      <c r="U346" s="1062"/>
      <c r="V346" s="1063"/>
      <c r="W346" s="1064" t="s">
        <v>182</v>
      </c>
      <c r="X346" s="1065"/>
      <c r="Y346" s="1064" t="s">
        <v>169</v>
      </c>
      <c r="Z346" s="1066"/>
      <c r="AA346" s="1067"/>
    </row>
    <row r="347" spans="2:30" s="172" customFormat="1" ht="16.5" customHeight="1" x14ac:dyDescent="0.15">
      <c r="B347" s="345" t="s">
        <v>279</v>
      </c>
      <c r="C347" s="346"/>
      <c r="D347" s="347"/>
      <c r="E347" s="228" t="str">
        <f>IF(B347="","",B347&amp;F347)</f>
        <v>なし42278</v>
      </c>
      <c r="F347" s="1452">
        <f>IF(AND($W$165="非該当",$B$347&lt;&gt;""),DATE(YEAR($I$27)-9,MONTH($I$27),DAY($I$27)),"")</f>
        <v>42278</v>
      </c>
      <c r="G347" s="1453"/>
      <c r="H347" s="1454"/>
      <c r="I347" s="1057">
        <f>IF($B$347="","",VLOOKUP($E347,$E$153:$T$164,5,FALSE))</f>
        <v>1</v>
      </c>
      <c r="J347" s="1058"/>
      <c r="K347" s="1059" t="str">
        <f>IF(B$347="","",P16)</f>
        <v>2024</v>
      </c>
      <c r="L347" s="1060"/>
      <c r="M347" s="1057">
        <f>IF($B$347="","",VLOOKUP($E347,$E$153:$T$164,7,FALSE))</f>
        <v>1</v>
      </c>
      <c r="N347" s="1058"/>
      <c r="O347" s="302">
        <f>IF(B$347="","",IF(I350&lt;1,"－",ROUND(M350/I350,3)))</f>
        <v>1</v>
      </c>
      <c r="P347" s="303"/>
      <c r="Q347" s="1057">
        <f>IF($B$347="","",VLOOKUP($E347,$E$153:$T$164,12,FALSE))</f>
        <v>0</v>
      </c>
      <c r="R347" s="1058"/>
      <c r="S347" s="1059" t="str">
        <f>IF(B$347="","",P16)</f>
        <v>2024</v>
      </c>
      <c r="T347" s="1060"/>
      <c r="U347" s="1057">
        <f>IF($B$347="","",VLOOKUP($E347,$E$153:$T$164,14,FALSE))</f>
        <v>0</v>
      </c>
      <c r="V347" s="1058"/>
      <c r="W347" s="302">
        <f>IF(B$347="","",IF(Q350&lt;1,"－",ROUND(U350/Q350,3)))</f>
        <v>0</v>
      </c>
      <c r="X347" s="303"/>
      <c r="Y347" s="1038" t="s">
        <v>170</v>
      </c>
      <c r="Z347" s="1039"/>
      <c r="AA347" s="1040"/>
    </row>
    <row r="348" spans="2:30" s="172" customFormat="1" ht="16.5" customHeight="1" x14ac:dyDescent="0.15">
      <c r="B348" s="348"/>
      <c r="C348" s="1068"/>
      <c r="D348" s="350"/>
      <c r="E348" s="228" t="str">
        <f>IF(B347="","",B347&amp;F348)</f>
        <v>なし41913</v>
      </c>
      <c r="F348" s="1446">
        <f>IF(AND($W$165="非該当",$B$347&lt;&gt;""),DATE(YEAR($I$27)-10,MONTH($I$27),DAY($I$27)),"　　　　★")</f>
        <v>41913</v>
      </c>
      <c r="G348" s="1447"/>
      <c r="H348" s="1448"/>
      <c r="I348" s="1044">
        <f>IF($B$347="","",VLOOKUP($E348,$E$153:$T$164,5,FALSE))</f>
        <v>0</v>
      </c>
      <c r="J348" s="1045"/>
      <c r="K348" s="1046" t="str">
        <f>IF(B$347="","★の10事業年度後在職者数","事業年度在職者数")</f>
        <v>事業年度在職者数</v>
      </c>
      <c r="L348" s="1047"/>
      <c r="M348" s="1044">
        <f>IF($B$347="","",VLOOKUP($E348,$E$153:$T$164,7,FALSE))</f>
        <v>0</v>
      </c>
      <c r="N348" s="1045"/>
      <c r="O348" s="304"/>
      <c r="P348" s="305"/>
      <c r="Q348" s="1044">
        <f>IF($B$347="","",VLOOKUP($E348,$E$153:$T$164,12,FALSE))</f>
        <v>0</v>
      </c>
      <c r="R348" s="1045"/>
      <c r="S348" s="1046" t="str">
        <f>IF(B$347="","★の10事業年度後在職者数","事業年度在職者数")</f>
        <v>事業年度在職者数</v>
      </c>
      <c r="T348" s="1047"/>
      <c r="U348" s="1044">
        <f>IF($B$347="","",VLOOKUP($E348,$E$153:$T$164,14,FALSE))</f>
        <v>0</v>
      </c>
      <c r="V348" s="1045"/>
      <c r="W348" s="304"/>
      <c r="X348" s="305"/>
      <c r="Y348" s="1048" t="str">
        <f>IF(B$347="","",IF(OR(O347="－",W347="－",W347=0),"－",ROUND(O347/W347,2)))</f>
        <v>－</v>
      </c>
      <c r="Z348" s="1049"/>
      <c r="AA348" s="1050"/>
    </row>
    <row r="349" spans="2:30" s="172" customFormat="1" ht="16.5" customHeight="1" x14ac:dyDescent="0.15">
      <c r="B349" s="348"/>
      <c r="C349" s="1068"/>
      <c r="D349" s="350"/>
      <c r="E349" s="228" t="str">
        <f>IF(B347="","",B347&amp;F349)</f>
        <v>なし41548</v>
      </c>
      <c r="F349" s="1449">
        <f>IF(AND($W$165="非該当",$B$347&lt;&gt;""),DATE(YEAR($I$27)-11,MONTH($I$27),DAY($I$27)),"")</f>
        <v>41548</v>
      </c>
      <c r="G349" s="1450"/>
      <c r="H349" s="1451"/>
      <c r="I349" s="1044">
        <f>IF($B$347="","",VLOOKUP($E349,$E$153:$T$164,5,FALSE))</f>
        <v>0</v>
      </c>
      <c r="J349" s="1045"/>
      <c r="K349" s="1046"/>
      <c r="L349" s="1047"/>
      <c r="M349" s="1044">
        <f>IF($B$347="","",VLOOKUP($E349,$E$153:$T$164,7,FALSE))</f>
        <v>0</v>
      </c>
      <c r="N349" s="1045"/>
      <c r="O349" s="304"/>
      <c r="P349" s="305"/>
      <c r="Q349" s="1044">
        <f>IF($B$347="","",VLOOKUP($E349,$E$153:$T$164,12,FALSE))</f>
        <v>1</v>
      </c>
      <c r="R349" s="1045"/>
      <c r="S349" s="1046"/>
      <c r="T349" s="1047"/>
      <c r="U349" s="1044">
        <f>IF($B$347="","",VLOOKUP($E349,$E$153:$T$164,14,FALSE))</f>
        <v>0</v>
      </c>
      <c r="V349" s="1045"/>
      <c r="W349" s="304"/>
      <c r="X349" s="305"/>
      <c r="Y349" s="1048"/>
      <c r="Z349" s="1049"/>
      <c r="AA349" s="1050"/>
    </row>
    <row r="350" spans="2:30" s="172" customFormat="1" ht="16.5" customHeight="1" thickBot="1" x14ac:dyDescent="0.2">
      <c r="B350" s="348"/>
      <c r="C350" s="1068"/>
      <c r="D350" s="350"/>
      <c r="E350" s="233"/>
      <c r="F350" s="1033" t="s">
        <v>15</v>
      </c>
      <c r="G350" s="1034"/>
      <c r="H350" s="1035"/>
      <c r="I350" s="1036">
        <f>IF($B$347="","",SUM(I347:J349))</f>
        <v>1</v>
      </c>
      <c r="J350" s="1037"/>
      <c r="K350" s="261"/>
      <c r="L350" s="262"/>
      <c r="M350" s="1036">
        <f>IF($B$347="","",SUM(M347:N349))</f>
        <v>1</v>
      </c>
      <c r="N350" s="1037"/>
      <c r="O350" s="306"/>
      <c r="P350" s="307"/>
      <c r="Q350" s="1036">
        <f>IF($B$347="","",SUM(Q347:R349))</f>
        <v>1</v>
      </c>
      <c r="R350" s="1037"/>
      <c r="S350" s="261"/>
      <c r="T350" s="262"/>
      <c r="U350" s="1036">
        <f>IF($B$347="","",SUM(U347:V349))</f>
        <v>0</v>
      </c>
      <c r="V350" s="1037"/>
      <c r="W350" s="306"/>
      <c r="X350" s="307"/>
      <c r="Y350" s="1021"/>
      <c r="Z350" s="1022"/>
      <c r="AA350" s="1023"/>
    </row>
    <row r="351" spans="2:30" s="172" customFormat="1" ht="16.5" customHeight="1" x14ac:dyDescent="0.15">
      <c r="B351" s="348"/>
      <c r="C351" s="1068"/>
      <c r="D351" s="350"/>
      <c r="E351" s="233"/>
      <c r="F351" s="1452">
        <f>IF(AND($W$165="非該当",$B$347&lt;&gt;""),DATE(YEAR($I$27)-10,MONTH($I$27),DAY($I$27)),"")</f>
        <v>41913</v>
      </c>
      <c r="G351" s="1453"/>
      <c r="H351" s="1454"/>
      <c r="I351" s="1057">
        <f>IF(I348="","",I348)</f>
        <v>0</v>
      </c>
      <c r="J351" s="1058"/>
      <c r="K351" s="1059" t="str">
        <f>IF(B$347="","",P17)</f>
        <v>2023</v>
      </c>
      <c r="L351" s="1060"/>
      <c r="M351" s="300">
        <v>0</v>
      </c>
      <c r="N351" s="301"/>
      <c r="O351" s="302" t="str">
        <f>IF(B$347="","",IF(I354&lt;1,"－",ROUND(M354/I354,3)))</f>
        <v>－</v>
      </c>
      <c r="P351" s="303"/>
      <c r="Q351" s="1057">
        <f>IF(Q348="","",Q348)</f>
        <v>0</v>
      </c>
      <c r="R351" s="1058"/>
      <c r="S351" s="1059" t="str">
        <f>IF(B$347="","",P17)</f>
        <v>2023</v>
      </c>
      <c r="T351" s="1060"/>
      <c r="U351" s="300">
        <v>0</v>
      </c>
      <c r="V351" s="301"/>
      <c r="W351" s="302">
        <f>IF(B$347="","",IF(Q354&lt;1,"－",ROUND(U354/Q354,3)))</f>
        <v>1</v>
      </c>
      <c r="X351" s="303"/>
      <c r="Y351" s="1038" t="s">
        <v>171</v>
      </c>
      <c r="Z351" s="1039"/>
      <c r="AA351" s="1040"/>
    </row>
    <row r="352" spans="2:30" s="172" customFormat="1" ht="16.5" customHeight="1" x14ac:dyDescent="0.15">
      <c r="B352" s="348"/>
      <c r="C352" s="1068"/>
      <c r="D352" s="350"/>
      <c r="E352" s="228" t="str">
        <f>IF(B347="","",B347&amp;F352&amp;"その2")</f>
        <v>なし41548その2</v>
      </c>
      <c r="F352" s="1446">
        <f>IF(AND($W$165="非該当",$B$347&lt;&gt;""),DATE(YEAR($I$27)-11,MONTH($I$27),DAY($I$27)),"　　　　★")</f>
        <v>41548</v>
      </c>
      <c r="G352" s="1447"/>
      <c r="H352" s="1448"/>
      <c r="I352" s="1044">
        <f>IF(I349="","",I349)</f>
        <v>0</v>
      </c>
      <c r="J352" s="1045"/>
      <c r="K352" s="1046" t="str">
        <f>IF(B$347="","★の10事業年度後在職者数","事業年度在職者数")</f>
        <v>事業年度在職者数</v>
      </c>
      <c r="L352" s="1047"/>
      <c r="M352" s="318">
        <v>0</v>
      </c>
      <c r="N352" s="319"/>
      <c r="O352" s="304"/>
      <c r="P352" s="305"/>
      <c r="Q352" s="1044">
        <f>IF(Q349="","",Q349)</f>
        <v>1</v>
      </c>
      <c r="R352" s="1045"/>
      <c r="S352" s="1046" t="str">
        <f>IF(B$347="","★の10事業年度後在職者数","事業年度在職者数")</f>
        <v>事業年度在職者数</v>
      </c>
      <c r="T352" s="1047"/>
      <c r="U352" s="318">
        <v>1</v>
      </c>
      <c r="V352" s="319"/>
      <c r="W352" s="304"/>
      <c r="X352" s="305"/>
      <c r="Y352" s="1048" t="str">
        <f>IF(B$347="","",IF(OR(O351="－",W351="－",W351=0),"－",ROUND(O351/W351,2)))</f>
        <v>－</v>
      </c>
      <c r="Z352" s="1049"/>
      <c r="AA352" s="1050"/>
      <c r="AD352" s="277"/>
    </row>
    <row r="353" spans="2:28" s="172" customFormat="1" ht="16.5" customHeight="1" x14ac:dyDescent="0.15">
      <c r="B353" s="348"/>
      <c r="C353" s="1068"/>
      <c r="D353" s="350"/>
      <c r="E353" s="233"/>
      <c r="F353" s="1449">
        <f>IF(AND($W$165="非該当",$B$347&lt;&gt;""),DATE(YEAR($I$27)-12,MONTH($I$27),DAY($I$27)),"")</f>
        <v>41183</v>
      </c>
      <c r="G353" s="1450"/>
      <c r="H353" s="1451"/>
      <c r="I353" s="318">
        <v>0</v>
      </c>
      <c r="J353" s="319"/>
      <c r="K353" s="1046"/>
      <c r="L353" s="1047"/>
      <c r="M353" s="318">
        <v>0</v>
      </c>
      <c r="N353" s="319"/>
      <c r="O353" s="304"/>
      <c r="P353" s="305"/>
      <c r="Q353" s="318">
        <v>1</v>
      </c>
      <c r="R353" s="319"/>
      <c r="S353" s="1046"/>
      <c r="T353" s="1047"/>
      <c r="U353" s="318">
        <v>1</v>
      </c>
      <c r="V353" s="319"/>
      <c r="W353" s="304"/>
      <c r="X353" s="305"/>
      <c r="Y353" s="1048"/>
      <c r="Z353" s="1049"/>
      <c r="AA353" s="1050"/>
    </row>
    <row r="354" spans="2:28" s="172" customFormat="1" ht="16.5" customHeight="1" thickBot="1" x14ac:dyDescent="0.2">
      <c r="B354" s="348"/>
      <c r="C354" s="1068"/>
      <c r="D354" s="350"/>
      <c r="E354" s="233"/>
      <c r="F354" s="1033" t="s">
        <v>15</v>
      </c>
      <c r="G354" s="1034"/>
      <c r="H354" s="1035"/>
      <c r="I354" s="1036">
        <f>IF($B$347="","",SUM(I351:J353))</f>
        <v>0</v>
      </c>
      <c r="J354" s="1037"/>
      <c r="K354" s="261"/>
      <c r="L354" s="262"/>
      <c r="M354" s="1036">
        <f>IF($B$347="","",SUM(M351:N353))</f>
        <v>0</v>
      </c>
      <c r="N354" s="1037"/>
      <c r="O354" s="306"/>
      <c r="P354" s="307"/>
      <c r="Q354" s="1036">
        <f>IF($B$347="","",SUM(Q351:R353))</f>
        <v>2</v>
      </c>
      <c r="R354" s="1037"/>
      <c r="S354" s="263"/>
      <c r="T354" s="263"/>
      <c r="U354" s="1036">
        <f>IF($B$347="","",SUM(U351:V353))</f>
        <v>2</v>
      </c>
      <c r="V354" s="1037"/>
      <c r="W354" s="306"/>
      <c r="X354" s="307"/>
      <c r="Y354" s="1021"/>
      <c r="Z354" s="1022"/>
      <c r="AA354" s="1023"/>
    </row>
    <row r="355" spans="2:28" s="172" customFormat="1" ht="16.5" customHeight="1" x14ac:dyDescent="0.15">
      <c r="B355" s="348"/>
      <c r="C355" s="1068"/>
      <c r="D355" s="350"/>
      <c r="E355" s="233"/>
      <c r="F355" s="1452">
        <f>IF(AND($W$165="非該当",$B$347&lt;&gt;""),DATE(YEAR($I$27)-11,MONTH($I$27),DAY($I$27)),"")</f>
        <v>41548</v>
      </c>
      <c r="G355" s="1453"/>
      <c r="H355" s="1454"/>
      <c r="I355" s="1057">
        <f>IF(I352="","",I352)</f>
        <v>0</v>
      </c>
      <c r="J355" s="1058"/>
      <c r="K355" s="1059" t="str">
        <f>IF(B$347="","",P18)</f>
        <v>2022</v>
      </c>
      <c r="L355" s="1060"/>
      <c r="M355" s="300">
        <v>0</v>
      </c>
      <c r="N355" s="301"/>
      <c r="O355" s="302" t="str">
        <f>IF(B$347="","",IF(I358&lt;1,"－",ROUND(M358/I358,3)))</f>
        <v>－</v>
      </c>
      <c r="P355" s="303"/>
      <c r="Q355" s="1057">
        <f>IF(Q352="","",Q352)</f>
        <v>1</v>
      </c>
      <c r="R355" s="1058"/>
      <c r="S355" s="1059" t="str">
        <f>IF(B$347="","",P18)</f>
        <v>2022</v>
      </c>
      <c r="T355" s="1060"/>
      <c r="U355" s="300">
        <v>1</v>
      </c>
      <c r="V355" s="301"/>
      <c r="W355" s="302">
        <f>IF(B$347="","",IF(Q358&lt;1,"－",ROUND(U358/Q358,3)))</f>
        <v>1</v>
      </c>
      <c r="X355" s="303"/>
      <c r="Y355" s="1038" t="s">
        <v>172</v>
      </c>
      <c r="Z355" s="1039"/>
      <c r="AA355" s="1040"/>
    </row>
    <row r="356" spans="2:28" s="172" customFormat="1" ht="16.5" customHeight="1" x14ac:dyDescent="0.15">
      <c r="B356" s="348"/>
      <c r="C356" s="1068"/>
      <c r="D356" s="350"/>
      <c r="E356" s="228" t="str">
        <f>IF(B347="","",B347&amp;F356)</f>
        <v>なし41183</v>
      </c>
      <c r="F356" s="1446">
        <f>IF(AND($W$165="非該当",$B$347&lt;&gt;""),DATE(YEAR($I$27)-12,MONTH($I$27),DAY($I$27)),"　　　　★")</f>
        <v>41183</v>
      </c>
      <c r="G356" s="1447"/>
      <c r="H356" s="1448"/>
      <c r="I356" s="1044">
        <f>IF(I353="","",I353)</f>
        <v>0</v>
      </c>
      <c r="J356" s="1045"/>
      <c r="K356" s="1046" t="str">
        <f>IF(B$347="","★の10事業年度後在職者数","事業年度在職者数")</f>
        <v>事業年度在職者数</v>
      </c>
      <c r="L356" s="1047"/>
      <c r="M356" s="318">
        <v>0</v>
      </c>
      <c r="N356" s="319"/>
      <c r="O356" s="304"/>
      <c r="P356" s="305"/>
      <c r="Q356" s="1044">
        <f>IF(Q353="","",Q353)</f>
        <v>1</v>
      </c>
      <c r="R356" s="1045"/>
      <c r="S356" s="1046" t="str">
        <f>IF(B$347="","★の10事業年度後在職者数","事業年度在職者数")</f>
        <v>事業年度在職者数</v>
      </c>
      <c r="T356" s="1047"/>
      <c r="U356" s="318">
        <v>1</v>
      </c>
      <c r="V356" s="319"/>
      <c r="W356" s="304"/>
      <c r="X356" s="305"/>
      <c r="Y356" s="1048" t="str">
        <f>IF(B$347="","",IF(OR(O355="－",W355="－",W355=0),"－",ROUND(O355/W355,2)))</f>
        <v>－</v>
      </c>
      <c r="Z356" s="1049"/>
      <c r="AA356" s="1050"/>
    </row>
    <row r="357" spans="2:28" s="172" customFormat="1" ht="16.5" customHeight="1" x14ac:dyDescent="0.15">
      <c r="B357" s="348"/>
      <c r="C357" s="1068"/>
      <c r="D357" s="350"/>
      <c r="E357" s="233"/>
      <c r="F357" s="1449">
        <f>IF(AND($W$165="非該当",$B$347&lt;&gt;""),DATE(YEAR($I$27)-13,MONTH($I$27),DAY($I$27)),"")</f>
        <v>40817</v>
      </c>
      <c r="G357" s="1450"/>
      <c r="H357" s="1451"/>
      <c r="I357" s="318">
        <v>0</v>
      </c>
      <c r="J357" s="319"/>
      <c r="K357" s="1046"/>
      <c r="L357" s="1047"/>
      <c r="M357" s="318">
        <v>0</v>
      </c>
      <c r="N357" s="319"/>
      <c r="O357" s="304"/>
      <c r="P357" s="305"/>
      <c r="Q357" s="318">
        <v>0</v>
      </c>
      <c r="R357" s="319"/>
      <c r="S357" s="1046"/>
      <c r="T357" s="1047"/>
      <c r="U357" s="318">
        <v>0</v>
      </c>
      <c r="V357" s="319"/>
      <c r="W357" s="304"/>
      <c r="X357" s="305"/>
      <c r="Y357" s="1048"/>
      <c r="Z357" s="1049"/>
      <c r="AA357" s="1050"/>
    </row>
    <row r="358" spans="2:28" s="172" customFormat="1" ht="16.5" customHeight="1" thickBot="1" x14ac:dyDescent="0.2">
      <c r="B358" s="348"/>
      <c r="C358" s="1068"/>
      <c r="D358" s="350"/>
      <c r="E358" s="233"/>
      <c r="F358" s="1033" t="s">
        <v>15</v>
      </c>
      <c r="G358" s="1034"/>
      <c r="H358" s="1035"/>
      <c r="I358" s="1036">
        <f>IF($B$347="","",SUM(I355:J357))</f>
        <v>0</v>
      </c>
      <c r="J358" s="1037"/>
      <c r="K358" s="261"/>
      <c r="L358" s="262"/>
      <c r="M358" s="1036">
        <f>IF($B$347="","",SUM(M355:N357))</f>
        <v>0</v>
      </c>
      <c r="N358" s="1037"/>
      <c r="O358" s="306"/>
      <c r="P358" s="307"/>
      <c r="Q358" s="1036">
        <f>IF($B$347="","",SUM(Q355:R357))</f>
        <v>2</v>
      </c>
      <c r="R358" s="1037"/>
      <c r="S358" s="263"/>
      <c r="T358" s="263"/>
      <c r="U358" s="1036">
        <f>IF($B$347="","",SUM(U355:V357))</f>
        <v>2</v>
      </c>
      <c r="V358" s="1037"/>
      <c r="W358" s="306"/>
      <c r="X358" s="307"/>
      <c r="Y358" s="1021"/>
      <c r="Z358" s="1022"/>
      <c r="AA358" s="1023"/>
    </row>
    <row r="359" spans="2:28" s="172" customFormat="1" ht="16.5" customHeight="1" x14ac:dyDescent="0.15">
      <c r="B359" s="348"/>
      <c r="C359" s="1068"/>
      <c r="D359" s="350"/>
      <c r="E359" s="233"/>
      <c r="F359" s="1452">
        <f>IF(AND($W$165="非該当",$B$347&lt;&gt;""),DATE(YEAR($I$27)-12,MONTH($I$27),DAY($I$27)),"")</f>
        <v>41183</v>
      </c>
      <c r="G359" s="1453"/>
      <c r="H359" s="1454"/>
      <c r="I359" s="1057">
        <f>IF(I356="","",I356)</f>
        <v>0</v>
      </c>
      <c r="J359" s="1058"/>
      <c r="K359" s="1059" t="str">
        <f>IF(B$347="","",P19)</f>
        <v>2021</v>
      </c>
      <c r="L359" s="1060"/>
      <c r="M359" s="300">
        <v>0</v>
      </c>
      <c r="N359" s="301"/>
      <c r="O359" s="302">
        <f>IF(B$347="","",IF(I362&lt;1,"－",ROUND(M362/I362,3)))</f>
        <v>1</v>
      </c>
      <c r="P359" s="303"/>
      <c r="Q359" s="1057">
        <f>IF(Q356="","",Q356)</f>
        <v>1</v>
      </c>
      <c r="R359" s="1058"/>
      <c r="S359" s="1059" t="str">
        <f>IF(B$347="","",P19)</f>
        <v>2021</v>
      </c>
      <c r="T359" s="1060"/>
      <c r="U359" s="300">
        <v>1</v>
      </c>
      <c r="V359" s="301"/>
      <c r="W359" s="302">
        <f>IF(B$347="","",IF(Q362&lt;1,"－",ROUND(U362/Q362,3)))</f>
        <v>0.5</v>
      </c>
      <c r="X359" s="303"/>
      <c r="Y359" s="1038" t="s">
        <v>173</v>
      </c>
      <c r="Z359" s="1039"/>
      <c r="AA359" s="1040"/>
      <c r="AB359" s="264"/>
    </row>
    <row r="360" spans="2:28" s="172" customFormat="1" ht="16.5" customHeight="1" x14ac:dyDescent="0.15">
      <c r="B360" s="348"/>
      <c r="C360" s="1068"/>
      <c r="D360" s="350"/>
      <c r="E360" s="228" t="str">
        <f>IF(B347="","",B347&amp;F360)</f>
        <v>なし40817</v>
      </c>
      <c r="F360" s="1446">
        <f>IF(AND($W$165="非該当",$B$347&lt;&gt;""),DATE(YEAR($I$27)-13,MONTH($I$27),DAY($I$27)),"　　　　★")</f>
        <v>40817</v>
      </c>
      <c r="G360" s="1447"/>
      <c r="H360" s="1448"/>
      <c r="I360" s="1044">
        <f>IF(I357="","",I357)</f>
        <v>0</v>
      </c>
      <c r="J360" s="1045"/>
      <c r="K360" s="1046" t="str">
        <f>IF(B$347="","★の10事業年度後在職者数","事業年度在職者数")</f>
        <v>事業年度在職者数</v>
      </c>
      <c r="L360" s="1047"/>
      <c r="M360" s="318">
        <v>0</v>
      </c>
      <c r="N360" s="319"/>
      <c r="O360" s="304"/>
      <c r="P360" s="305"/>
      <c r="Q360" s="1044">
        <f>IF(Q357="","",Q357)</f>
        <v>0</v>
      </c>
      <c r="R360" s="1045"/>
      <c r="S360" s="1046" t="str">
        <f>IF(B$347="","★の10事業年度後在職者数","事業年度在職者数")</f>
        <v>事業年度在職者数</v>
      </c>
      <c r="T360" s="1047"/>
      <c r="U360" s="318">
        <v>0</v>
      </c>
      <c r="V360" s="319"/>
      <c r="W360" s="304"/>
      <c r="X360" s="305"/>
      <c r="Y360" s="1048">
        <f>IF(B$347="","",IF(OR(O359="－",W359="－",W359=0),"－",ROUND(O359/W359,2)))</f>
        <v>2</v>
      </c>
      <c r="Z360" s="1049"/>
      <c r="AA360" s="1050"/>
      <c r="AB360" s="264"/>
    </row>
    <row r="361" spans="2:28" s="172" customFormat="1" ht="16.5" customHeight="1" x14ac:dyDescent="0.15">
      <c r="B361" s="348"/>
      <c r="C361" s="1068"/>
      <c r="D361" s="350"/>
      <c r="E361" s="233"/>
      <c r="F361" s="1449">
        <f>IF(AND($W$165="非該当",$B$347&lt;&gt;""),DATE(YEAR($I$27)-14,MONTH($I$27),DAY($I$27)),"")</f>
        <v>40452</v>
      </c>
      <c r="G361" s="1450"/>
      <c r="H361" s="1451"/>
      <c r="I361" s="318">
        <v>1</v>
      </c>
      <c r="J361" s="319"/>
      <c r="K361" s="1046"/>
      <c r="L361" s="1047"/>
      <c r="M361" s="318">
        <v>1</v>
      </c>
      <c r="N361" s="319"/>
      <c r="O361" s="304"/>
      <c r="P361" s="305"/>
      <c r="Q361" s="318">
        <v>1</v>
      </c>
      <c r="R361" s="319"/>
      <c r="S361" s="1046"/>
      <c r="T361" s="1047"/>
      <c r="U361" s="318">
        <v>0</v>
      </c>
      <c r="V361" s="319"/>
      <c r="W361" s="304"/>
      <c r="X361" s="305"/>
      <c r="Y361" s="1048"/>
      <c r="Z361" s="1049"/>
      <c r="AA361" s="1050"/>
      <c r="AB361" s="264"/>
    </row>
    <row r="362" spans="2:28" s="172" customFormat="1" ht="16.5" customHeight="1" thickBot="1" x14ac:dyDescent="0.2">
      <c r="B362" s="348"/>
      <c r="C362" s="1068"/>
      <c r="D362" s="350"/>
      <c r="E362" s="233"/>
      <c r="F362" s="1033" t="s">
        <v>15</v>
      </c>
      <c r="G362" s="1034"/>
      <c r="H362" s="1035"/>
      <c r="I362" s="1036">
        <f>IF($B$347="","",SUM(I359:J361))</f>
        <v>1</v>
      </c>
      <c r="J362" s="1037"/>
      <c r="K362" s="261"/>
      <c r="L362" s="262"/>
      <c r="M362" s="1036">
        <f>IF($B$347="","",SUM(M359:N361))</f>
        <v>1</v>
      </c>
      <c r="N362" s="1037"/>
      <c r="O362" s="306"/>
      <c r="P362" s="307"/>
      <c r="Q362" s="1036">
        <f>IF($B$347="","",SUM(Q359:R361))</f>
        <v>2</v>
      </c>
      <c r="R362" s="1037"/>
      <c r="S362" s="263"/>
      <c r="T362" s="263"/>
      <c r="U362" s="1036">
        <f>IF($B$347="","",SUM(U359:V361))</f>
        <v>1</v>
      </c>
      <c r="V362" s="1037"/>
      <c r="W362" s="306"/>
      <c r="X362" s="307"/>
      <c r="Y362" s="1021"/>
      <c r="Z362" s="1022"/>
      <c r="AA362" s="1023"/>
      <c r="AB362" s="264"/>
    </row>
    <row r="363" spans="2:28" s="172" customFormat="1" ht="16.5" customHeight="1" x14ac:dyDescent="0.15">
      <c r="B363" s="348"/>
      <c r="C363" s="1068"/>
      <c r="D363" s="350"/>
      <c r="E363" s="233"/>
      <c r="F363" s="1452">
        <f>IF(AND($W$165="非該当",$B$347&lt;&gt;""),DATE(YEAR($I$27)-13,MONTH($I$27),DAY($I$27)),"")</f>
        <v>40817</v>
      </c>
      <c r="G363" s="1453"/>
      <c r="H363" s="1454"/>
      <c r="I363" s="1057">
        <f>IF(I360="","",I360)</f>
        <v>0</v>
      </c>
      <c r="J363" s="1058"/>
      <c r="K363" s="1059" t="str">
        <f>IF(B$347="","",P20)</f>
        <v>2020</v>
      </c>
      <c r="L363" s="1060"/>
      <c r="M363" s="300">
        <v>0</v>
      </c>
      <c r="N363" s="301"/>
      <c r="O363" s="302">
        <f>IF(B$347="","",IF(I366&lt;1,"－",ROUND(M366/I366,3)))</f>
        <v>1</v>
      </c>
      <c r="P363" s="303"/>
      <c r="Q363" s="1057">
        <f>IF(Q360="","",Q360)</f>
        <v>0</v>
      </c>
      <c r="R363" s="1058"/>
      <c r="S363" s="1059" t="str">
        <f>IF(B$347="","",P20)</f>
        <v>2020</v>
      </c>
      <c r="T363" s="1060"/>
      <c r="U363" s="300">
        <v>0</v>
      </c>
      <c r="V363" s="301"/>
      <c r="W363" s="302">
        <f>IF(B$347="","",IF(Q366&lt;1,"－",ROUND(U366/Q366,3)))</f>
        <v>0</v>
      </c>
      <c r="X363" s="303"/>
      <c r="Y363" s="1038" t="s">
        <v>174</v>
      </c>
      <c r="Z363" s="1039"/>
      <c r="AA363" s="1040"/>
    </row>
    <row r="364" spans="2:28" s="172" customFormat="1" ht="16.5" customHeight="1" x14ac:dyDescent="0.15">
      <c r="B364" s="348"/>
      <c r="C364" s="1068"/>
      <c r="D364" s="350"/>
      <c r="E364" s="228" t="str">
        <f>IF(B347="","",B347&amp;F364)</f>
        <v>なし40452</v>
      </c>
      <c r="F364" s="1446">
        <f>IF(AND($W$165="非該当",$B$347&lt;&gt;""),DATE(YEAR($I$27)-14,MONTH($I$27),DAY($I$27)),"　　　　★")</f>
        <v>40452</v>
      </c>
      <c r="G364" s="1447"/>
      <c r="H364" s="1448"/>
      <c r="I364" s="1044">
        <f>IF(I361="","",I361)</f>
        <v>1</v>
      </c>
      <c r="J364" s="1045"/>
      <c r="K364" s="1046" t="str">
        <f>IF(B$347="","★の10事業年度後在職者数","事業年度在職者数")</f>
        <v>事業年度在職者数</v>
      </c>
      <c r="L364" s="1047"/>
      <c r="M364" s="318">
        <v>1</v>
      </c>
      <c r="N364" s="319"/>
      <c r="O364" s="304"/>
      <c r="P364" s="305"/>
      <c r="Q364" s="1044">
        <f>IF(Q361="","",Q361)</f>
        <v>1</v>
      </c>
      <c r="R364" s="1045"/>
      <c r="S364" s="1046" t="str">
        <f>IF(B$347="","★の10事業年度後在職者数","事業年度在職者数")</f>
        <v>事業年度在職者数</v>
      </c>
      <c r="T364" s="1047"/>
      <c r="U364" s="318">
        <v>0</v>
      </c>
      <c r="V364" s="319"/>
      <c r="W364" s="304"/>
      <c r="X364" s="305"/>
      <c r="Y364" s="1048" t="str">
        <f>IF(B$347="","",IF(OR(O363="－",W363="－",W363=0),"－",ROUND(O363/W363,2)))</f>
        <v>－</v>
      </c>
      <c r="Z364" s="1049"/>
      <c r="AA364" s="1050"/>
    </row>
    <row r="365" spans="2:28" s="172" customFormat="1" ht="16.5" customHeight="1" x14ac:dyDescent="0.15">
      <c r="B365" s="348"/>
      <c r="C365" s="1068"/>
      <c r="D365" s="350"/>
      <c r="E365" s="233"/>
      <c r="F365" s="1449">
        <f>IF(AND($W$165="非該当",$B$347&lt;&gt;""),DATE(YEAR($I$27)-15,MONTH($I$27),DAY($I$27)),"")</f>
        <v>40087</v>
      </c>
      <c r="G365" s="1450"/>
      <c r="H365" s="1451"/>
      <c r="I365" s="318">
        <v>0</v>
      </c>
      <c r="J365" s="319"/>
      <c r="K365" s="1046"/>
      <c r="L365" s="1047"/>
      <c r="M365" s="318">
        <v>0</v>
      </c>
      <c r="N365" s="319"/>
      <c r="O365" s="304"/>
      <c r="P365" s="305"/>
      <c r="Q365" s="318">
        <v>0</v>
      </c>
      <c r="R365" s="319"/>
      <c r="S365" s="1046"/>
      <c r="T365" s="1047"/>
      <c r="U365" s="318">
        <v>0</v>
      </c>
      <c r="V365" s="319"/>
      <c r="W365" s="304"/>
      <c r="X365" s="305"/>
      <c r="Y365" s="1048"/>
      <c r="Z365" s="1049"/>
      <c r="AA365" s="1050"/>
    </row>
    <row r="366" spans="2:28" s="172" customFormat="1" ht="16.5" customHeight="1" thickBot="1" x14ac:dyDescent="0.2">
      <c r="B366" s="348"/>
      <c r="C366" s="1068"/>
      <c r="D366" s="350"/>
      <c r="E366" s="233"/>
      <c r="F366" s="1033" t="s">
        <v>15</v>
      </c>
      <c r="G366" s="1034"/>
      <c r="H366" s="1035"/>
      <c r="I366" s="1036">
        <f>IF($B$347="","",SUM(I363:J365))</f>
        <v>1</v>
      </c>
      <c r="J366" s="1037"/>
      <c r="K366" s="261"/>
      <c r="L366" s="262"/>
      <c r="M366" s="1036">
        <f>IF($B$347="","",SUM(M363:N365))</f>
        <v>1</v>
      </c>
      <c r="N366" s="1037"/>
      <c r="O366" s="306"/>
      <c r="P366" s="307"/>
      <c r="Q366" s="1036">
        <f>IF($B$347="","",SUM(Q363:R365))</f>
        <v>1</v>
      </c>
      <c r="R366" s="1037"/>
      <c r="S366" s="263"/>
      <c r="T366" s="263"/>
      <c r="U366" s="1036">
        <f>IF($B$347="","",SUM(U363:V365))</f>
        <v>0</v>
      </c>
      <c r="V366" s="1037"/>
      <c r="W366" s="306"/>
      <c r="X366" s="307"/>
      <c r="Y366" s="1021"/>
      <c r="Z366" s="1022"/>
      <c r="AA366" s="1023"/>
    </row>
    <row r="367" spans="2:28" s="172" customFormat="1" ht="16.5" customHeight="1" x14ac:dyDescent="0.15">
      <c r="B367" s="348"/>
      <c r="C367" s="1068"/>
      <c r="D367" s="350"/>
      <c r="E367" s="228" t="str">
        <f>B347&amp;1</f>
        <v>なし1</v>
      </c>
      <c r="F367" s="265" t="str">
        <f>IF(F357=""," 9～13年前採用者の３事業年度ごと継続雇用割合男女比の平均（ア～ウの平均）",S15&amp;"～"&amp;T19&amp;"採用者の３事業年度ごと継続雇用割合男女比の平均（ア～ウの平均）")</f>
        <v>2015～2011年採用者の３事業年度ごと継続雇用割合男女比の平均（ア～ウの平均）</v>
      </c>
      <c r="G367" s="266"/>
      <c r="H367" s="266"/>
      <c r="I367" s="266"/>
      <c r="J367" s="266"/>
      <c r="K367" s="266"/>
      <c r="L367" s="266"/>
      <c r="M367" s="266"/>
      <c r="N367" s="266"/>
      <c r="O367" s="266"/>
      <c r="P367" s="266"/>
      <c r="Q367" s="266"/>
      <c r="R367" s="266"/>
      <c r="S367" s="266"/>
      <c r="T367" s="266"/>
      <c r="U367" s="266"/>
      <c r="V367" s="266"/>
      <c r="W367" s="266"/>
      <c r="X367" s="267"/>
      <c r="Y367" s="1024" t="str">
        <f>IF(B347="","",IF(OR(Y348="－",Y352="－",Y356="－"),"算出不能",ROUND(AVERAGE(Y348,Y352,Y356),3)))</f>
        <v>算出不能</v>
      </c>
      <c r="Z367" s="1025"/>
      <c r="AA367" s="1026"/>
    </row>
    <row r="368" spans="2:28" s="172" customFormat="1" ht="16.5" customHeight="1" x14ac:dyDescent="0.15">
      <c r="B368" s="348"/>
      <c r="C368" s="1068"/>
      <c r="D368" s="350"/>
      <c r="E368" s="228" t="str">
        <f>B347&amp;2</f>
        <v>なし2</v>
      </c>
      <c r="F368" s="268" t="str">
        <f>IF(F361="","10～14年前採用者の　　　　　　　　〃　　　　　　　　　　（イ～エの平均）",S16&amp;"～"&amp;T20&amp;"採用者の　　　　　　　　〃　　　　　　　　　　（イ～エの平均）")</f>
        <v>2014～2010年採用者の　　　　　　　　〃　　　　　　　　　　（イ～エの平均）</v>
      </c>
      <c r="G368" s="269"/>
      <c r="H368" s="269"/>
      <c r="I368" s="269"/>
      <c r="J368" s="269"/>
      <c r="K368" s="269"/>
      <c r="L368" s="269"/>
      <c r="M368" s="269"/>
      <c r="N368" s="269"/>
      <c r="O368" s="270"/>
      <c r="P368" s="270"/>
      <c r="Q368" s="270"/>
      <c r="R368" s="270"/>
      <c r="S368" s="269"/>
      <c r="T368" s="269"/>
      <c r="U368" s="269"/>
      <c r="V368" s="269"/>
      <c r="W368" s="269"/>
      <c r="X368" s="271"/>
      <c r="Y368" s="1027" t="str">
        <f>IF(B347="","",IF(OR(Y352="－",Y356="－",Y360="－"),"算出不能",ROUND(AVERAGE(Y352,Y356,Y360),3)))</f>
        <v>算出不能</v>
      </c>
      <c r="Z368" s="1028"/>
      <c r="AA368" s="1029"/>
    </row>
    <row r="369" spans="2:28" ht="16.5" customHeight="1" thickBot="1" x14ac:dyDescent="0.2">
      <c r="B369" s="351"/>
      <c r="C369" s="352"/>
      <c r="D369" s="353"/>
      <c r="E369" s="228" t="str">
        <f>B347&amp;3</f>
        <v>なし3</v>
      </c>
      <c r="F369" s="272" t="str">
        <f>IF(F365="","11～15年前採用者の　　　　　　　　〃　　　　　　　　　　（ウ～オの平均）",S17&amp;"～"&amp;T21&amp;"採用者の　　　　　　　　〃　　　　　　　　　　（ウ～オの平均）")</f>
        <v>2013～2009年採用者の　　　　　　　　〃　　　　　　　　　　（ウ～オの平均）</v>
      </c>
      <c r="G369" s="273"/>
      <c r="H369" s="273"/>
      <c r="I369" s="273"/>
      <c r="J369" s="273"/>
      <c r="K369" s="273"/>
      <c r="L369" s="273"/>
      <c r="M369" s="273"/>
      <c r="N369" s="273"/>
      <c r="O369" s="273"/>
      <c r="P369" s="273"/>
      <c r="Q369" s="273"/>
      <c r="R369" s="273"/>
      <c r="S369" s="273"/>
      <c r="T369" s="273"/>
      <c r="U369" s="274"/>
      <c r="V369" s="273"/>
      <c r="W369" s="274"/>
      <c r="X369" s="275"/>
      <c r="Y369" s="1030" t="str">
        <f>IF(B347="","",IF(OR(Y356="－",Y360="－",Y364="－"),"算出不能",ROUND(AVERAGE(Y356,Y360,Y364),3)))</f>
        <v>算出不能</v>
      </c>
      <c r="Z369" s="1031"/>
      <c r="AA369" s="1032"/>
    </row>
    <row r="370" spans="2:28" s="172" customFormat="1" ht="16.5" customHeight="1" x14ac:dyDescent="0.15">
      <c r="B370" s="345"/>
      <c r="C370" s="346"/>
      <c r="D370" s="347"/>
      <c r="E370" s="228" t="str">
        <f>IF(B370="","",B370&amp;F370)</f>
        <v/>
      </c>
      <c r="F370" s="1452" t="str">
        <f>IF(AND($W$165="非該当",$B$370&lt;&gt;""),DATE(YEAR($I$27)-9,MONTH($I$27),DAY($I$27)),"")</f>
        <v/>
      </c>
      <c r="G370" s="1453"/>
      <c r="H370" s="1454"/>
      <c r="I370" s="1057" t="str">
        <f>IF($B$370="","",VLOOKUP($E370,$E$153:$T$164,5,FALSE))</f>
        <v/>
      </c>
      <c r="J370" s="1058"/>
      <c r="K370" s="1059" t="str">
        <f>IF(B$370="","",P16)</f>
        <v/>
      </c>
      <c r="L370" s="1060"/>
      <c r="M370" s="1057" t="str">
        <f>IF($B$370="","",VLOOKUP($E370,$E$153:$T$164,7,FALSE))</f>
        <v/>
      </c>
      <c r="N370" s="1058"/>
      <c r="O370" s="302" t="str">
        <f>IF(B$370="","",IF(I373&lt;1,"－",ROUND(M373/I373,3)))</f>
        <v/>
      </c>
      <c r="P370" s="303"/>
      <c r="Q370" s="1057" t="str">
        <f>IF($B$370="","",VLOOKUP($E370,$E$153:$T$164,12,FALSE))</f>
        <v/>
      </c>
      <c r="R370" s="1058"/>
      <c r="S370" s="1059" t="str">
        <f>IF(B$370="","",P16)</f>
        <v/>
      </c>
      <c r="T370" s="1060"/>
      <c r="U370" s="1057" t="str">
        <f>IF($B$370="","",VLOOKUP($E370,$E$153:$T$164,14,FALSE))</f>
        <v/>
      </c>
      <c r="V370" s="1058"/>
      <c r="W370" s="302" t="str">
        <f>IF(B$370="","",IF(Q373&lt;1,"－",ROUND(U373/Q373,3)))</f>
        <v/>
      </c>
      <c r="X370" s="303"/>
      <c r="Y370" s="1038" t="s">
        <v>170</v>
      </c>
      <c r="Z370" s="1039"/>
      <c r="AA370" s="1040"/>
    </row>
    <row r="371" spans="2:28" s="172" customFormat="1" ht="16.5" customHeight="1" x14ac:dyDescent="0.15">
      <c r="B371" s="348"/>
      <c r="C371" s="1068"/>
      <c r="D371" s="350"/>
      <c r="E371" s="228" t="str">
        <f>IF(B370="","",B370&amp;F371)</f>
        <v/>
      </c>
      <c r="F371" s="1446" t="str">
        <f>IF(AND($W$165="非該当",$B$370&lt;&gt;""),DATE(YEAR($I$27)-10,MONTH($I$27),DAY($I$27)),"　　　　★")</f>
        <v>　　　　★</v>
      </c>
      <c r="G371" s="1447"/>
      <c r="H371" s="1448"/>
      <c r="I371" s="1044" t="str">
        <f>IF($B$370="","",VLOOKUP($E371,$E$153:$T$164,5,FALSE))</f>
        <v/>
      </c>
      <c r="J371" s="1045"/>
      <c r="K371" s="1046" t="str">
        <f>IF(B$370="","★の10事業年度後在職者数","事業年度在職者数")</f>
        <v>★の10事業年度後在職者数</v>
      </c>
      <c r="L371" s="1047"/>
      <c r="M371" s="1044" t="str">
        <f>IF($B$370="","",VLOOKUP($E371,$E$153:$T$164,7,FALSE))</f>
        <v/>
      </c>
      <c r="N371" s="1045"/>
      <c r="O371" s="304"/>
      <c r="P371" s="305"/>
      <c r="Q371" s="1044" t="str">
        <f>IF($B$370="","",VLOOKUP($E371,$E$153:$T$164,12,FALSE))</f>
        <v/>
      </c>
      <c r="R371" s="1045"/>
      <c r="S371" s="1046" t="str">
        <f>IF(B$370="","★の10事業年度後在職者数","事業年度在職者数")</f>
        <v>★の10事業年度後在職者数</v>
      </c>
      <c r="T371" s="1047"/>
      <c r="U371" s="1044" t="str">
        <f>IF($B$370="","",VLOOKUP($E371,$E$153:$T$164,14,FALSE))</f>
        <v/>
      </c>
      <c r="V371" s="1045"/>
      <c r="W371" s="304"/>
      <c r="X371" s="305"/>
      <c r="Y371" s="1048" t="str">
        <f>IF(B$370="","",IF(OR(O370="－",W370="－",W370=0),"－",ROUND(O370/W370,2)))</f>
        <v/>
      </c>
      <c r="Z371" s="1049"/>
      <c r="AA371" s="1050"/>
    </row>
    <row r="372" spans="2:28" s="172" customFormat="1" ht="16.5" customHeight="1" x14ac:dyDescent="0.15">
      <c r="B372" s="348"/>
      <c r="C372" s="1068"/>
      <c r="D372" s="350"/>
      <c r="E372" s="228" t="str">
        <f>IF(B370="","",B370&amp;F372)</f>
        <v/>
      </c>
      <c r="F372" s="1449" t="str">
        <f>IF(AND($W$165="非該当",$B$370&lt;&gt;""),DATE(YEAR($I$27)-11,MONTH($I$27),DAY($I$27)),"")</f>
        <v/>
      </c>
      <c r="G372" s="1450"/>
      <c r="H372" s="1451"/>
      <c r="I372" s="1044" t="str">
        <f>IF($B$370="","",VLOOKUP($E372,$E$153:$T$164,5,FALSE))</f>
        <v/>
      </c>
      <c r="J372" s="1045"/>
      <c r="K372" s="1046"/>
      <c r="L372" s="1047"/>
      <c r="M372" s="1044" t="str">
        <f>IF($B$370="","",VLOOKUP($E372,$E$153:$T$164,7,FALSE))</f>
        <v/>
      </c>
      <c r="N372" s="1045"/>
      <c r="O372" s="304"/>
      <c r="P372" s="305"/>
      <c r="Q372" s="1044" t="str">
        <f>IF($B$370="","",VLOOKUP($E372,$E$153:$T$164,12,FALSE))</f>
        <v/>
      </c>
      <c r="R372" s="1045"/>
      <c r="S372" s="1046"/>
      <c r="T372" s="1047"/>
      <c r="U372" s="1044" t="str">
        <f>IF($B$370="","",VLOOKUP($E372,$E$153:$T$164,14,FALSE))</f>
        <v/>
      </c>
      <c r="V372" s="1045"/>
      <c r="W372" s="304"/>
      <c r="X372" s="305"/>
      <c r="Y372" s="1048"/>
      <c r="Z372" s="1049"/>
      <c r="AA372" s="1050"/>
    </row>
    <row r="373" spans="2:28" s="172" customFormat="1" ht="16.5" customHeight="1" thickBot="1" x14ac:dyDescent="0.2">
      <c r="B373" s="348"/>
      <c r="C373" s="1068"/>
      <c r="D373" s="350"/>
      <c r="E373" s="233"/>
      <c r="F373" s="1033" t="s">
        <v>15</v>
      </c>
      <c r="G373" s="1034"/>
      <c r="H373" s="1035"/>
      <c r="I373" s="1036" t="str">
        <f>IF($B$370="","",SUM(I370:J372))</f>
        <v/>
      </c>
      <c r="J373" s="1037"/>
      <c r="K373" s="261"/>
      <c r="L373" s="262"/>
      <c r="M373" s="1036" t="str">
        <f>IF($B$370="","",SUM(M370:N372))</f>
        <v/>
      </c>
      <c r="N373" s="1037"/>
      <c r="O373" s="306"/>
      <c r="P373" s="307"/>
      <c r="Q373" s="1036" t="str">
        <f>IF($B$370="","",SUM(Q370:R372))</f>
        <v/>
      </c>
      <c r="R373" s="1037"/>
      <c r="S373" s="261"/>
      <c r="T373" s="262"/>
      <c r="U373" s="1036" t="str">
        <f>IF($B$370="","",SUM(U370:V372))</f>
        <v/>
      </c>
      <c r="V373" s="1037"/>
      <c r="W373" s="306"/>
      <c r="X373" s="307"/>
      <c r="Y373" s="1021"/>
      <c r="Z373" s="1022"/>
      <c r="AA373" s="1023"/>
    </row>
    <row r="374" spans="2:28" s="172" customFormat="1" ht="16.5" customHeight="1" x14ac:dyDescent="0.15">
      <c r="B374" s="348"/>
      <c r="C374" s="1068"/>
      <c r="D374" s="350"/>
      <c r="E374" s="233"/>
      <c r="F374" s="1452" t="str">
        <f>IF(AND($W$165="非該当",$B$370&lt;&gt;""),DATE(YEAR($I$27)-10,MONTH($I$27),DAY($I$27)),"")</f>
        <v/>
      </c>
      <c r="G374" s="1453"/>
      <c r="H374" s="1454"/>
      <c r="I374" s="1057" t="str">
        <f>IF(I371="","",I371)</f>
        <v/>
      </c>
      <c r="J374" s="1058"/>
      <c r="K374" s="1059" t="str">
        <f>IF(B$370="","",P17)</f>
        <v/>
      </c>
      <c r="L374" s="1060"/>
      <c r="M374" s="300"/>
      <c r="N374" s="301"/>
      <c r="O374" s="302" t="str">
        <f>IF(B$370="","",IF(I377&lt;1,"－",ROUND(M377/I377,3)))</f>
        <v/>
      </c>
      <c r="P374" s="303"/>
      <c r="Q374" s="1057" t="str">
        <f>IF(Q371="","",Q371)</f>
        <v/>
      </c>
      <c r="R374" s="1058"/>
      <c r="S374" s="1059" t="str">
        <f>IF(B$370="","",P17)</f>
        <v/>
      </c>
      <c r="T374" s="1060"/>
      <c r="U374" s="300"/>
      <c r="V374" s="301"/>
      <c r="W374" s="302" t="str">
        <f>IF(B$370="","",IF(Q377&lt;1,"－",ROUND(U377/Q377,3)))</f>
        <v/>
      </c>
      <c r="X374" s="303"/>
      <c r="Y374" s="1038" t="s">
        <v>171</v>
      </c>
      <c r="Z374" s="1039"/>
      <c r="AA374" s="1040"/>
    </row>
    <row r="375" spans="2:28" s="172" customFormat="1" ht="16.5" customHeight="1" x14ac:dyDescent="0.15">
      <c r="B375" s="348"/>
      <c r="C375" s="1068"/>
      <c r="D375" s="350"/>
      <c r="E375" s="228" t="str">
        <f>IF(B370="","",B370&amp;F375&amp;"その2")</f>
        <v/>
      </c>
      <c r="F375" s="1446" t="str">
        <f>IF(AND($W$165="非該当",$B$370&lt;&gt;""),DATE(YEAR($I$27)-11,MONTH($I$27),DAY($I$27)),"　　　　★")</f>
        <v>　　　　★</v>
      </c>
      <c r="G375" s="1447"/>
      <c r="H375" s="1448"/>
      <c r="I375" s="1044" t="str">
        <f>IF(I372="","",I372)</f>
        <v/>
      </c>
      <c r="J375" s="1045"/>
      <c r="K375" s="1046" t="str">
        <f>IF(B$370="","★の10事業年度後在職者数","事業年度在職者数")</f>
        <v>★の10事業年度後在職者数</v>
      </c>
      <c r="L375" s="1047"/>
      <c r="M375" s="318"/>
      <c r="N375" s="319"/>
      <c r="O375" s="304"/>
      <c r="P375" s="305"/>
      <c r="Q375" s="1044" t="str">
        <f>IF(Q372="","",Q372)</f>
        <v/>
      </c>
      <c r="R375" s="1045"/>
      <c r="S375" s="1046" t="str">
        <f>IF(B$370="","★の10事業年度後在職者数","事業年度在職者数")</f>
        <v>★の10事業年度後在職者数</v>
      </c>
      <c r="T375" s="1047"/>
      <c r="U375" s="318"/>
      <c r="V375" s="319"/>
      <c r="W375" s="304"/>
      <c r="X375" s="305"/>
      <c r="Y375" s="1048" t="str">
        <f>IF(B$370="","",IF(OR(O374="－",W374="－",W374=0),"－",ROUND(O374/W374,2)))</f>
        <v/>
      </c>
      <c r="Z375" s="1049"/>
      <c r="AA375" s="1050"/>
    </row>
    <row r="376" spans="2:28" s="172" customFormat="1" ht="16.5" customHeight="1" x14ac:dyDescent="0.15">
      <c r="B376" s="348"/>
      <c r="C376" s="1068"/>
      <c r="D376" s="350"/>
      <c r="E376" s="233"/>
      <c r="F376" s="1449" t="str">
        <f>IF(AND($W$165="非該当",$B$370&lt;&gt;""),DATE(YEAR($I$27)-12,MONTH($I$27),DAY($I$27)),"")</f>
        <v/>
      </c>
      <c r="G376" s="1450"/>
      <c r="H376" s="1451"/>
      <c r="I376" s="318"/>
      <c r="J376" s="319"/>
      <c r="K376" s="1046"/>
      <c r="L376" s="1047"/>
      <c r="M376" s="318"/>
      <c r="N376" s="319"/>
      <c r="O376" s="304"/>
      <c r="P376" s="305"/>
      <c r="Q376" s="318"/>
      <c r="R376" s="319"/>
      <c r="S376" s="1046"/>
      <c r="T376" s="1047"/>
      <c r="U376" s="318"/>
      <c r="V376" s="319"/>
      <c r="W376" s="304"/>
      <c r="X376" s="305"/>
      <c r="Y376" s="1048"/>
      <c r="Z376" s="1049"/>
      <c r="AA376" s="1050"/>
    </row>
    <row r="377" spans="2:28" s="172" customFormat="1" ht="16.5" customHeight="1" thickBot="1" x14ac:dyDescent="0.2">
      <c r="B377" s="348"/>
      <c r="C377" s="1068"/>
      <c r="D377" s="350"/>
      <c r="E377" s="233"/>
      <c r="F377" s="1033" t="s">
        <v>15</v>
      </c>
      <c r="G377" s="1034"/>
      <c r="H377" s="1035"/>
      <c r="I377" s="1036" t="str">
        <f>IF($B$370="","",SUM(I374:J376))</f>
        <v/>
      </c>
      <c r="J377" s="1037"/>
      <c r="K377" s="261"/>
      <c r="L377" s="262"/>
      <c r="M377" s="1036" t="str">
        <f>IF($B$370="","",SUM(M374:N376))</f>
        <v/>
      </c>
      <c r="N377" s="1037"/>
      <c r="O377" s="306"/>
      <c r="P377" s="307"/>
      <c r="Q377" s="1036" t="str">
        <f>IF($B$370="","",SUM(Q374:R376))</f>
        <v/>
      </c>
      <c r="R377" s="1037"/>
      <c r="S377" s="263"/>
      <c r="T377" s="263"/>
      <c r="U377" s="1036" t="str">
        <f>IF($B$370="","",SUM(U374:V376))</f>
        <v/>
      </c>
      <c r="V377" s="1037"/>
      <c r="W377" s="306"/>
      <c r="X377" s="307"/>
      <c r="Y377" s="1021"/>
      <c r="Z377" s="1022"/>
      <c r="AA377" s="1023"/>
    </row>
    <row r="378" spans="2:28" s="172" customFormat="1" ht="16.5" customHeight="1" x14ac:dyDescent="0.15">
      <c r="B378" s="348"/>
      <c r="C378" s="1068"/>
      <c r="D378" s="350"/>
      <c r="E378" s="233"/>
      <c r="F378" s="1452" t="str">
        <f>IF(AND($W$165="非該当",$B$370&lt;&gt;""),DATE(YEAR($I$27)-11,MONTH($I$27),DAY($I$27)),"")</f>
        <v/>
      </c>
      <c r="G378" s="1453"/>
      <c r="H378" s="1454"/>
      <c r="I378" s="1057" t="str">
        <f>IF(I375="","",I375)</f>
        <v/>
      </c>
      <c r="J378" s="1058"/>
      <c r="K378" s="1059" t="str">
        <f>IF(B$370="","",P18)</f>
        <v/>
      </c>
      <c r="L378" s="1060"/>
      <c r="M378" s="300"/>
      <c r="N378" s="301"/>
      <c r="O378" s="302" t="str">
        <f>IF(B$370="","",IF(I381&lt;1,"－",ROUND(M381/I381,3)))</f>
        <v/>
      </c>
      <c r="P378" s="303"/>
      <c r="Q378" s="1057" t="str">
        <f>IF(Q375="","",Q375)</f>
        <v/>
      </c>
      <c r="R378" s="1058"/>
      <c r="S378" s="1059" t="str">
        <f>IF(B$370="","",P18)</f>
        <v/>
      </c>
      <c r="T378" s="1060"/>
      <c r="U378" s="300"/>
      <c r="V378" s="301"/>
      <c r="W378" s="302" t="str">
        <f>IF(B$370="","",IF(Q381&lt;1,"－",ROUND(U381/Q381,3)))</f>
        <v/>
      </c>
      <c r="X378" s="303"/>
      <c r="Y378" s="1038" t="s">
        <v>172</v>
      </c>
      <c r="Z378" s="1039"/>
      <c r="AA378" s="1040"/>
    </row>
    <row r="379" spans="2:28" s="172" customFormat="1" ht="16.5" customHeight="1" x14ac:dyDescent="0.15">
      <c r="B379" s="348"/>
      <c r="C379" s="1068"/>
      <c r="D379" s="350"/>
      <c r="E379" s="228" t="str">
        <f>IF(B370="","",B370&amp;F379)</f>
        <v/>
      </c>
      <c r="F379" s="1446" t="str">
        <f>IF(AND($W$165="非該当",$B$370&lt;&gt;""),DATE(YEAR($I$27)-12,MONTH($I$27),DAY($I$27)),"　　　　★")</f>
        <v>　　　　★</v>
      </c>
      <c r="G379" s="1447"/>
      <c r="H379" s="1448"/>
      <c r="I379" s="1044" t="str">
        <f>IF(I376="","",I376)</f>
        <v/>
      </c>
      <c r="J379" s="1045"/>
      <c r="K379" s="1046" t="str">
        <f>IF(B$370="","★の10事業年度後在職者数","事業年度在職者数")</f>
        <v>★の10事業年度後在職者数</v>
      </c>
      <c r="L379" s="1047"/>
      <c r="M379" s="318"/>
      <c r="N379" s="319"/>
      <c r="O379" s="304"/>
      <c r="P379" s="305"/>
      <c r="Q379" s="1044" t="str">
        <f>IF(Q376="","",Q376)</f>
        <v/>
      </c>
      <c r="R379" s="1045"/>
      <c r="S379" s="1046" t="str">
        <f>IF(B$370="","★の10事業年度後在職者数","事業年度在職者数")</f>
        <v>★の10事業年度後在職者数</v>
      </c>
      <c r="T379" s="1047"/>
      <c r="U379" s="318"/>
      <c r="V379" s="319"/>
      <c r="W379" s="304"/>
      <c r="X379" s="305"/>
      <c r="Y379" s="1048" t="str">
        <f>IF(B$370="","",IF(OR(O378="－",W378="－",W378=0),"－",ROUND(O378/W378,2)))</f>
        <v/>
      </c>
      <c r="Z379" s="1049"/>
      <c r="AA379" s="1050"/>
    </row>
    <row r="380" spans="2:28" s="172" customFormat="1" ht="16.5" customHeight="1" x14ac:dyDescent="0.15">
      <c r="B380" s="348"/>
      <c r="C380" s="1068"/>
      <c r="D380" s="350"/>
      <c r="E380" s="233"/>
      <c r="F380" s="1449" t="str">
        <f>IF(AND($W$165="非該当",$B$370&lt;&gt;""),DATE(YEAR($I$27)-13,MONTH($I$27),DAY($I$27)),"")</f>
        <v/>
      </c>
      <c r="G380" s="1450"/>
      <c r="H380" s="1451"/>
      <c r="I380" s="318"/>
      <c r="J380" s="319"/>
      <c r="K380" s="1046"/>
      <c r="L380" s="1047"/>
      <c r="M380" s="318"/>
      <c r="N380" s="319"/>
      <c r="O380" s="304"/>
      <c r="P380" s="305"/>
      <c r="Q380" s="318"/>
      <c r="R380" s="319"/>
      <c r="S380" s="1046"/>
      <c r="T380" s="1047"/>
      <c r="U380" s="318"/>
      <c r="V380" s="319"/>
      <c r="W380" s="304"/>
      <c r="X380" s="305"/>
      <c r="Y380" s="1048"/>
      <c r="Z380" s="1049"/>
      <c r="AA380" s="1050"/>
    </row>
    <row r="381" spans="2:28" s="172" customFormat="1" ht="16.5" customHeight="1" thickBot="1" x14ac:dyDescent="0.2">
      <c r="B381" s="348"/>
      <c r="C381" s="1068"/>
      <c r="D381" s="350"/>
      <c r="E381" s="233"/>
      <c r="F381" s="1033" t="s">
        <v>15</v>
      </c>
      <c r="G381" s="1034"/>
      <c r="H381" s="1035"/>
      <c r="I381" s="1036" t="str">
        <f>IF($B$370="","",SUM(I378:J380))</f>
        <v/>
      </c>
      <c r="J381" s="1037"/>
      <c r="K381" s="261"/>
      <c r="L381" s="262"/>
      <c r="M381" s="1036" t="str">
        <f>IF($B$370="","",SUM(M378:N380))</f>
        <v/>
      </c>
      <c r="N381" s="1037"/>
      <c r="O381" s="306"/>
      <c r="P381" s="307"/>
      <c r="Q381" s="1036" t="str">
        <f>IF($B$370="","",SUM(Q378:R380))</f>
        <v/>
      </c>
      <c r="R381" s="1037"/>
      <c r="S381" s="263"/>
      <c r="T381" s="263"/>
      <c r="U381" s="1036" t="str">
        <f>IF($B$370="","",SUM(U378:V380))</f>
        <v/>
      </c>
      <c r="V381" s="1037"/>
      <c r="W381" s="306"/>
      <c r="X381" s="307"/>
      <c r="Y381" s="1021"/>
      <c r="Z381" s="1022"/>
      <c r="AA381" s="1023"/>
    </row>
    <row r="382" spans="2:28" s="172" customFormat="1" ht="16.5" customHeight="1" x14ac:dyDescent="0.15">
      <c r="B382" s="348"/>
      <c r="C382" s="1068"/>
      <c r="D382" s="350"/>
      <c r="E382" s="233"/>
      <c r="F382" s="1452" t="str">
        <f>IF(AND($W$165="非該当",$B$370&lt;&gt;""),DATE(YEAR($I$27)-12,MONTH($I$27),DAY($I$27)),"")</f>
        <v/>
      </c>
      <c r="G382" s="1453"/>
      <c r="H382" s="1454"/>
      <c r="I382" s="1057" t="str">
        <f>IF(I379="","",I379)</f>
        <v/>
      </c>
      <c r="J382" s="1058"/>
      <c r="K382" s="1059" t="str">
        <f>IF(B$370="","",P19)</f>
        <v/>
      </c>
      <c r="L382" s="1060"/>
      <c r="M382" s="300"/>
      <c r="N382" s="301"/>
      <c r="O382" s="302" t="str">
        <f>IF(B$370="","",IF(I385&lt;1,"－",ROUND(M385/I385,3)))</f>
        <v/>
      </c>
      <c r="P382" s="303"/>
      <c r="Q382" s="1057" t="str">
        <f>IF(Q379="","",Q379)</f>
        <v/>
      </c>
      <c r="R382" s="1058"/>
      <c r="S382" s="1059" t="str">
        <f>IF(B$370="","",P19)</f>
        <v/>
      </c>
      <c r="T382" s="1060"/>
      <c r="U382" s="300"/>
      <c r="V382" s="301"/>
      <c r="W382" s="302" t="str">
        <f>IF(B$370="","",IF(Q385&lt;1,"－",ROUND(U385/Q385,3)))</f>
        <v/>
      </c>
      <c r="X382" s="303"/>
      <c r="Y382" s="1038" t="s">
        <v>173</v>
      </c>
      <c r="Z382" s="1039"/>
      <c r="AA382" s="1040"/>
      <c r="AB382" s="264"/>
    </row>
    <row r="383" spans="2:28" s="172" customFormat="1" ht="16.5" customHeight="1" x14ac:dyDescent="0.15">
      <c r="B383" s="348"/>
      <c r="C383" s="1068"/>
      <c r="D383" s="350"/>
      <c r="E383" s="228" t="str">
        <f>IF(B370="","",B370&amp;F383)</f>
        <v/>
      </c>
      <c r="F383" s="1446" t="str">
        <f>IF(AND($W$165="非該当",$B$370&lt;&gt;""),DATE(YEAR($I$27)-13,MONTH($I$27),DAY($I$27)),"　　　　★")</f>
        <v>　　　　★</v>
      </c>
      <c r="G383" s="1447"/>
      <c r="H383" s="1448"/>
      <c r="I383" s="1044" t="str">
        <f>IF(I380="","",I380)</f>
        <v/>
      </c>
      <c r="J383" s="1045"/>
      <c r="K383" s="1046" t="str">
        <f>IF(B$370="","★の10事業年度後在職者数","事業年度在職者数")</f>
        <v>★の10事業年度後在職者数</v>
      </c>
      <c r="L383" s="1047"/>
      <c r="M383" s="318"/>
      <c r="N383" s="319"/>
      <c r="O383" s="304"/>
      <c r="P383" s="305"/>
      <c r="Q383" s="1044" t="str">
        <f>IF(Q380="","",Q380)</f>
        <v/>
      </c>
      <c r="R383" s="1045"/>
      <c r="S383" s="1046" t="str">
        <f>IF(B$370="","★の10事業年度後在職者数","事業年度在職者数")</f>
        <v>★の10事業年度後在職者数</v>
      </c>
      <c r="T383" s="1047"/>
      <c r="U383" s="318"/>
      <c r="V383" s="319"/>
      <c r="W383" s="304"/>
      <c r="X383" s="305"/>
      <c r="Y383" s="1048" t="str">
        <f>IF(B$370="","",IF(OR(O382="－",W382="－",W382=0),"－",ROUND(O382/W382,2)))</f>
        <v/>
      </c>
      <c r="Z383" s="1049"/>
      <c r="AA383" s="1050"/>
      <c r="AB383" s="264"/>
    </row>
    <row r="384" spans="2:28" s="172" customFormat="1" ht="16.5" customHeight="1" x14ac:dyDescent="0.15">
      <c r="B384" s="348"/>
      <c r="C384" s="1068"/>
      <c r="D384" s="350"/>
      <c r="E384" s="233"/>
      <c r="F384" s="1449" t="str">
        <f>IF(AND($W$165="非該当",$B$370&lt;&gt;""),DATE(YEAR($I$27)-14,MONTH($I$27),DAY($I$27)),"")</f>
        <v/>
      </c>
      <c r="G384" s="1450"/>
      <c r="H384" s="1451"/>
      <c r="I384" s="318"/>
      <c r="J384" s="319"/>
      <c r="K384" s="1046"/>
      <c r="L384" s="1047"/>
      <c r="M384" s="318"/>
      <c r="N384" s="319"/>
      <c r="O384" s="304"/>
      <c r="P384" s="305"/>
      <c r="Q384" s="318"/>
      <c r="R384" s="319"/>
      <c r="S384" s="1046"/>
      <c r="T384" s="1047"/>
      <c r="U384" s="318"/>
      <c r="V384" s="319"/>
      <c r="W384" s="304"/>
      <c r="X384" s="305"/>
      <c r="Y384" s="1048"/>
      <c r="Z384" s="1049"/>
      <c r="AA384" s="1050"/>
      <c r="AB384" s="264"/>
    </row>
    <row r="385" spans="2:28" s="172" customFormat="1" ht="16.5" customHeight="1" thickBot="1" x14ac:dyDescent="0.2">
      <c r="B385" s="348"/>
      <c r="C385" s="1068"/>
      <c r="D385" s="350"/>
      <c r="E385" s="233"/>
      <c r="F385" s="1033" t="s">
        <v>15</v>
      </c>
      <c r="G385" s="1034"/>
      <c r="H385" s="1035"/>
      <c r="I385" s="1036" t="str">
        <f>IF($B$370="","",SUM(I382:J384))</f>
        <v/>
      </c>
      <c r="J385" s="1037"/>
      <c r="K385" s="261"/>
      <c r="L385" s="262"/>
      <c r="M385" s="1036" t="str">
        <f>IF($B$370="","",SUM(M382:N384))</f>
        <v/>
      </c>
      <c r="N385" s="1037"/>
      <c r="O385" s="306"/>
      <c r="P385" s="307"/>
      <c r="Q385" s="1036" t="str">
        <f>IF($B$370="","",SUM(Q382:R384))</f>
        <v/>
      </c>
      <c r="R385" s="1037"/>
      <c r="S385" s="263"/>
      <c r="T385" s="263"/>
      <c r="U385" s="1036" t="str">
        <f>IF($B$370="","",SUM(U382:V384))</f>
        <v/>
      </c>
      <c r="V385" s="1037"/>
      <c r="W385" s="306"/>
      <c r="X385" s="307"/>
      <c r="Y385" s="1021"/>
      <c r="Z385" s="1022"/>
      <c r="AA385" s="1023"/>
      <c r="AB385" s="264"/>
    </row>
    <row r="386" spans="2:28" s="172" customFormat="1" ht="16.5" customHeight="1" x14ac:dyDescent="0.15">
      <c r="B386" s="348"/>
      <c r="C386" s="1068"/>
      <c r="D386" s="350"/>
      <c r="E386" s="233"/>
      <c r="F386" s="1452" t="str">
        <f>IF(AND($W$165="非該当",$B$370&lt;&gt;""),DATE(YEAR($I$27)-13,MONTH($I$27),DAY($I$27)),"")</f>
        <v/>
      </c>
      <c r="G386" s="1453"/>
      <c r="H386" s="1454"/>
      <c r="I386" s="1057" t="str">
        <f>IF(I383="","",I383)</f>
        <v/>
      </c>
      <c r="J386" s="1058"/>
      <c r="K386" s="1059" t="str">
        <f>IF(B$370="","",P20)</f>
        <v/>
      </c>
      <c r="L386" s="1060"/>
      <c r="M386" s="300"/>
      <c r="N386" s="301"/>
      <c r="O386" s="302" t="str">
        <f>IF(B$370="","",IF(I389&lt;1,"－",ROUND(M389/I389,3)))</f>
        <v/>
      </c>
      <c r="P386" s="303"/>
      <c r="Q386" s="1057" t="str">
        <f>IF(Q383="","",Q383)</f>
        <v/>
      </c>
      <c r="R386" s="1058"/>
      <c r="S386" s="1059" t="str">
        <f>IF(B$370="","",P20)</f>
        <v/>
      </c>
      <c r="T386" s="1060"/>
      <c r="U386" s="300"/>
      <c r="V386" s="301"/>
      <c r="W386" s="302" t="str">
        <f>IF(B$370="","",IF(Q389&lt;1,"－",ROUND(U389/Q389,3)))</f>
        <v/>
      </c>
      <c r="X386" s="303"/>
      <c r="Y386" s="1038" t="s">
        <v>174</v>
      </c>
      <c r="Z386" s="1039"/>
      <c r="AA386" s="1040"/>
    </row>
    <row r="387" spans="2:28" s="172" customFormat="1" ht="16.5" customHeight="1" x14ac:dyDescent="0.15">
      <c r="B387" s="348"/>
      <c r="C387" s="1068"/>
      <c r="D387" s="350"/>
      <c r="E387" s="228" t="str">
        <f>IF(B370="","",B370&amp;F387)</f>
        <v/>
      </c>
      <c r="F387" s="1446" t="str">
        <f>IF(AND($W$165="非該当",$B$370&lt;&gt;""),DATE(YEAR($I$27)-14,MONTH($I$27),DAY($I$27)),"　　　　★")</f>
        <v>　　　　★</v>
      </c>
      <c r="G387" s="1447"/>
      <c r="H387" s="1448"/>
      <c r="I387" s="1044" t="str">
        <f>IF(I384="","",I384)</f>
        <v/>
      </c>
      <c r="J387" s="1045"/>
      <c r="K387" s="1046" t="str">
        <f>IF(B$370="","★の10事業年度後在職者数","事業年度在職者数")</f>
        <v>★の10事業年度後在職者数</v>
      </c>
      <c r="L387" s="1047"/>
      <c r="M387" s="318"/>
      <c r="N387" s="319"/>
      <c r="O387" s="304"/>
      <c r="P387" s="305"/>
      <c r="Q387" s="1044" t="str">
        <f>IF(Q384="","",Q384)</f>
        <v/>
      </c>
      <c r="R387" s="1045"/>
      <c r="S387" s="1046" t="str">
        <f>IF(B$370="","★の10事業年度後在職者数","事業年度在職者数")</f>
        <v>★の10事業年度後在職者数</v>
      </c>
      <c r="T387" s="1047"/>
      <c r="U387" s="318"/>
      <c r="V387" s="319"/>
      <c r="W387" s="304"/>
      <c r="X387" s="305"/>
      <c r="Y387" s="1048" t="str">
        <f>IF(B$370="","",IF(OR(O386="－",W386="－",W386=0),"－",ROUND(O386/W386,2)))</f>
        <v/>
      </c>
      <c r="Z387" s="1049"/>
      <c r="AA387" s="1050"/>
    </row>
    <row r="388" spans="2:28" s="172" customFormat="1" ht="16.5" customHeight="1" x14ac:dyDescent="0.15">
      <c r="B388" s="348"/>
      <c r="C388" s="1068"/>
      <c r="D388" s="350"/>
      <c r="E388" s="233"/>
      <c r="F388" s="1449" t="str">
        <f>IF(AND($W$165="非該当",$B$370&lt;&gt;""),DATE(YEAR($I$27)-15,MONTH($I$27),DAY($I$27)),"")</f>
        <v/>
      </c>
      <c r="G388" s="1450"/>
      <c r="H388" s="1451"/>
      <c r="I388" s="318"/>
      <c r="J388" s="319"/>
      <c r="K388" s="1046"/>
      <c r="L388" s="1047"/>
      <c r="M388" s="318"/>
      <c r="N388" s="319"/>
      <c r="O388" s="304"/>
      <c r="P388" s="305"/>
      <c r="Q388" s="318"/>
      <c r="R388" s="319"/>
      <c r="S388" s="1046"/>
      <c r="T388" s="1047"/>
      <c r="U388" s="318"/>
      <c r="V388" s="319"/>
      <c r="W388" s="304"/>
      <c r="X388" s="305"/>
      <c r="Y388" s="1048"/>
      <c r="Z388" s="1049"/>
      <c r="AA388" s="1050"/>
    </row>
    <row r="389" spans="2:28" s="172" customFormat="1" ht="16.5" customHeight="1" thickBot="1" x14ac:dyDescent="0.2">
      <c r="B389" s="348"/>
      <c r="C389" s="1068"/>
      <c r="D389" s="350"/>
      <c r="E389" s="233"/>
      <c r="F389" s="1033" t="s">
        <v>15</v>
      </c>
      <c r="G389" s="1034"/>
      <c r="H389" s="1035"/>
      <c r="I389" s="1036" t="str">
        <f>IF($B$370="","",SUM(I386:J388))</f>
        <v/>
      </c>
      <c r="J389" s="1037"/>
      <c r="K389" s="261"/>
      <c r="L389" s="262"/>
      <c r="M389" s="1036" t="str">
        <f>IF($B$370="","",SUM(M386:N388))</f>
        <v/>
      </c>
      <c r="N389" s="1037"/>
      <c r="O389" s="306"/>
      <c r="P389" s="307"/>
      <c r="Q389" s="1036" t="str">
        <f>IF($B$370="","",SUM(Q386:R388))</f>
        <v/>
      </c>
      <c r="R389" s="1037"/>
      <c r="S389" s="263"/>
      <c r="T389" s="263"/>
      <c r="U389" s="1036" t="str">
        <f>IF($B$370="","",SUM(U386:V388))</f>
        <v/>
      </c>
      <c r="V389" s="1037"/>
      <c r="W389" s="306"/>
      <c r="X389" s="307"/>
      <c r="Y389" s="1021"/>
      <c r="Z389" s="1022"/>
      <c r="AA389" s="1023"/>
    </row>
    <row r="390" spans="2:28" s="172" customFormat="1" ht="16.5" customHeight="1" x14ac:dyDescent="0.15">
      <c r="B390" s="348"/>
      <c r="C390" s="1068"/>
      <c r="D390" s="350"/>
      <c r="E390" s="228" t="str">
        <f>B370&amp;1</f>
        <v>1</v>
      </c>
      <c r="F390" s="265" t="str">
        <f>IF(F380=""," 9～13年前採用者の３事業年度ごと継続雇用割合男女比の平均（ア～ウの平均）",S15&amp;"～"&amp;T19&amp;"採用者の３事業年度ごと継続雇用割合男女比の平均（ア～ウの平均）")</f>
        <v xml:space="preserve"> 9～13年前採用者の３事業年度ごと継続雇用割合男女比の平均（ア～ウの平均）</v>
      </c>
      <c r="G390" s="266"/>
      <c r="H390" s="266"/>
      <c r="I390" s="266"/>
      <c r="J390" s="266"/>
      <c r="K390" s="266"/>
      <c r="L390" s="266"/>
      <c r="M390" s="266"/>
      <c r="N390" s="266"/>
      <c r="O390" s="266"/>
      <c r="P390" s="266"/>
      <c r="Q390" s="266"/>
      <c r="R390" s="266"/>
      <c r="S390" s="266"/>
      <c r="T390" s="266"/>
      <c r="U390" s="266"/>
      <c r="V390" s="266"/>
      <c r="W390" s="266"/>
      <c r="X390" s="267"/>
      <c r="Y390" s="1024" t="str">
        <f>IF(B370="","",IF(OR(Y371="－",Y375="－",Y379="－"),"算出不能",ROUND(AVERAGE(Y371,Y375,Y379),3)))</f>
        <v/>
      </c>
      <c r="Z390" s="1025"/>
      <c r="AA390" s="1026"/>
    </row>
    <row r="391" spans="2:28" s="172" customFormat="1" ht="16.5" customHeight="1" x14ac:dyDescent="0.15">
      <c r="B391" s="348"/>
      <c r="C391" s="1068"/>
      <c r="D391" s="350"/>
      <c r="E391" s="228" t="str">
        <f>B370&amp;2</f>
        <v>2</v>
      </c>
      <c r="F391" s="268" t="str">
        <f>IF(F384="","10～14年前採用者の　　　　　　　　〃　　　　　　　　　　（イ～エの平均）",S16&amp;"～"&amp;T20&amp;"採用者の　　　　　　　　〃　　　　　　　　　　（イ～エの平均）")</f>
        <v>10～14年前採用者の　　　　　　　　〃　　　　　　　　　　（イ～エの平均）</v>
      </c>
      <c r="G391" s="269"/>
      <c r="H391" s="269"/>
      <c r="I391" s="269"/>
      <c r="J391" s="269"/>
      <c r="K391" s="269"/>
      <c r="L391" s="269"/>
      <c r="M391" s="269"/>
      <c r="N391" s="269"/>
      <c r="O391" s="270"/>
      <c r="P391" s="270"/>
      <c r="Q391" s="270"/>
      <c r="R391" s="270"/>
      <c r="S391" s="269"/>
      <c r="T391" s="269"/>
      <c r="U391" s="269"/>
      <c r="V391" s="269"/>
      <c r="W391" s="269"/>
      <c r="X391" s="271"/>
      <c r="Y391" s="1027" t="str">
        <f>IF(B370="","",IF(OR(Y375="－",Y379="－",Y383="－"),"算出不能",ROUND(AVERAGE(Y375,Y379,Y383),3)))</f>
        <v/>
      </c>
      <c r="Z391" s="1028"/>
      <c r="AA391" s="1029"/>
    </row>
    <row r="392" spans="2:28" ht="16.5" customHeight="1" thickBot="1" x14ac:dyDescent="0.2">
      <c r="B392" s="351"/>
      <c r="C392" s="352"/>
      <c r="D392" s="353"/>
      <c r="E392" s="228" t="str">
        <f>B370&amp;3</f>
        <v>3</v>
      </c>
      <c r="F392" s="272" t="str">
        <f>IF(F388="","11～15年前採用者の　　　　　　　　〃　　　　　　　　　　（ウ～オの平均）",S17&amp;"～"&amp;T21&amp;"採用者の　　　　　　　　〃　　　　　　　　　　（ウ～オの平均）")</f>
        <v>11～15年前採用者の　　　　　　　　〃　　　　　　　　　　（ウ～オの平均）</v>
      </c>
      <c r="G392" s="273"/>
      <c r="H392" s="273"/>
      <c r="I392" s="273"/>
      <c r="J392" s="273"/>
      <c r="K392" s="273"/>
      <c r="L392" s="273"/>
      <c r="M392" s="273"/>
      <c r="N392" s="273"/>
      <c r="O392" s="273"/>
      <c r="P392" s="273"/>
      <c r="Q392" s="273"/>
      <c r="R392" s="273"/>
      <c r="S392" s="273"/>
      <c r="T392" s="273"/>
      <c r="U392" s="274"/>
      <c r="V392" s="273"/>
      <c r="W392" s="274"/>
      <c r="X392" s="275"/>
      <c r="Y392" s="1030" t="str">
        <f>IF(B370="","",IF(OR(Y379="－",Y383="－",Y387="－"),"算出不能",ROUND(AVERAGE(Y379,Y383,Y387),3)))</f>
        <v/>
      </c>
      <c r="Z392" s="1031"/>
      <c r="AA392" s="1032"/>
    </row>
    <row r="393" spans="2:28" ht="9" customHeight="1" x14ac:dyDescent="0.15">
      <c r="Y393" s="260"/>
      <c r="AA393" s="260"/>
    </row>
    <row r="394" spans="2:28" ht="17.25" customHeight="1" x14ac:dyDescent="0.15">
      <c r="B394" s="171" t="s">
        <v>204</v>
      </c>
      <c r="Y394" s="260"/>
      <c r="AA394" s="212" t="str">
        <f t="shared" ref="AA394" si="30">IF(G$23="","",G$23)</f>
        <v>株式会社参画企画</v>
      </c>
    </row>
    <row r="395" spans="2:28" ht="17.25" customHeight="1" x14ac:dyDescent="0.15"/>
    <row r="396" spans="2:28" ht="17.25" customHeight="1" thickBot="1" x14ac:dyDescent="0.2">
      <c r="I396" s="1075" t="s">
        <v>40</v>
      </c>
      <c r="J396" s="1076"/>
      <c r="K396" s="1076"/>
      <c r="L396" s="1076"/>
      <c r="M396" s="1076"/>
      <c r="N396" s="1076"/>
      <c r="O396" s="1076"/>
      <c r="P396" s="1077"/>
      <c r="Q396" s="1075" t="s">
        <v>41</v>
      </c>
      <c r="R396" s="1076"/>
      <c r="S396" s="1076"/>
      <c r="T396" s="1076"/>
      <c r="U396" s="1076"/>
      <c r="V396" s="1076"/>
      <c r="W396" s="1076"/>
      <c r="X396" s="1077"/>
    </row>
    <row r="397" spans="2:28" s="172" customFormat="1" ht="40.5" customHeight="1" thickBot="1" x14ac:dyDescent="0.2">
      <c r="B397" s="1069" t="s">
        <v>0</v>
      </c>
      <c r="C397" s="1070"/>
      <c r="D397" s="1071"/>
      <c r="F397" s="1072" t="s">
        <v>230</v>
      </c>
      <c r="G397" s="1065"/>
      <c r="H397" s="1073"/>
      <c r="I397" s="1064" t="s">
        <v>221</v>
      </c>
      <c r="J397" s="1066"/>
      <c r="K397" s="1061" t="s">
        <v>180</v>
      </c>
      <c r="L397" s="1062"/>
      <c r="M397" s="1062"/>
      <c r="N397" s="1063"/>
      <c r="O397" s="1064" t="s">
        <v>181</v>
      </c>
      <c r="P397" s="1073"/>
      <c r="Q397" s="1064" t="s">
        <v>221</v>
      </c>
      <c r="R397" s="1074"/>
      <c r="S397" s="1061" t="s">
        <v>180</v>
      </c>
      <c r="T397" s="1062"/>
      <c r="U397" s="1062"/>
      <c r="V397" s="1063"/>
      <c r="W397" s="1064" t="s">
        <v>182</v>
      </c>
      <c r="X397" s="1065"/>
      <c r="Y397" s="1064" t="s">
        <v>169</v>
      </c>
      <c r="Z397" s="1066"/>
      <c r="AA397" s="1067"/>
    </row>
    <row r="398" spans="2:28" s="172" customFormat="1" ht="16.5" customHeight="1" x14ac:dyDescent="0.15">
      <c r="B398" s="345"/>
      <c r="C398" s="346"/>
      <c r="D398" s="347"/>
      <c r="E398" s="228" t="str">
        <f>IF(B398="","",B398&amp;F398)</f>
        <v/>
      </c>
      <c r="F398" s="1452" t="str">
        <f>IF(AND($W$165="非該当",$B$398&lt;&gt;""),DATE(YEAR($I$27)-9,MONTH($I$27),DAY($I$27)),"")</f>
        <v/>
      </c>
      <c r="G398" s="1453"/>
      <c r="H398" s="1454"/>
      <c r="I398" s="1057" t="str">
        <f>IF($B$398="","",VLOOKUP($E398,$E$153:$T$164,5,FALSE))</f>
        <v/>
      </c>
      <c r="J398" s="1058"/>
      <c r="K398" s="1059" t="str">
        <f>IF(B$398="","",P16)</f>
        <v/>
      </c>
      <c r="L398" s="1060"/>
      <c r="M398" s="1057" t="str">
        <f>IF($B$398="","",VLOOKUP($E398,$E$153:$T$164,7,FALSE))</f>
        <v/>
      </c>
      <c r="N398" s="1058"/>
      <c r="O398" s="302" t="str">
        <f>IF(B$398="","",IF(I401&lt;1,"－",ROUND(M401/I401,3)))</f>
        <v/>
      </c>
      <c r="P398" s="303"/>
      <c r="Q398" s="1057" t="str">
        <f>IF($B$398="","",VLOOKUP($E398,$E$153:$T$164,12,FALSE))</f>
        <v/>
      </c>
      <c r="R398" s="1058"/>
      <c r="S398" s="1059" t="str">
        <f>IF(B$398="","",P16)</f>
        <v/>
      </c>
      <c r="T398" s="1060"/>
      <c r="U398" s="1057" t="str">
        <f>IF($B$398="","",VLOOKUP($E398,$E$153:$T$164,14,FALSE))</f>
        <v/>
      </c>
      <c r="V398" s="1058"/>
      <c r="W398" s="302" t="str">
        <f>IF(B$398="","",IF(Q401&lt;1,"－",ROUND(U401/Q401,3)))</f>
        <v/>
      </c>
      <c r="X398" s="303"/>
      <c r="Y398" s="1038" t="s">
        <v>170</v>
      </c>
      <c r="Z398" s="1039"/>
      <c r="AA398" s="1040"/>
    </row>
    <row r="399" spans="2:28" s="172" customFormat="1" ht="16.5" customHeight="1" x14ac:dyDescent="0.15">
      <c r="B399" s="348"/>
      <c r="C399" s="1068"/>
      <c r="D399" s="350"/>
      <c r="E399" s="228" t="str">
        <f>IF(B398="","",B398&amp;F399)</f>
        <v/>
      </c>
      <c r="F399" s="1446" t="str">
        <f>IF(AND($W$165="非該当",$B$398&lt;&gt;""),DATE(YEAR($I$27)-10,MONTH($I$27),DAY($I$27)),"　　　　★")</f>
        <v>　　　　★</v>
      </c>
      <c r="G399" s="1447"/>
      <c r="H399" s="1448"/>
      <c r="I399" s="1044" t="str">
        <f>IF($B$398="","",VLOOKUP($E399,$E$153:$T$164,5,FALSE))</f>
        <v/>
      </c>
      <c r="J399" s="1045"/>
      <c r="K399" s="1046" t="str">
        <f>IF(B$398="","★の10事業年度後在職者数","事業年度在職者数")</f>
        <v>★の10事業年度後在職者数</v>
      </c>
      <c r="L399" s="1047"/>
      <c r="M399" s="1044" t="str">
        <f>IF($B$398="","",VLOOKUP($E399,$E$153:$T$164,7,FALSE))</f>
        <v/>
      </c>
      <c r="N399" s="1045"/>
      <c r="O399" s="304"/>
      <c r="P399" s="305"/>
      <c r="Q399" s="1044" t="str">
        <f>IF($B$398="","",VLOOKUP($E399,$E$153:$T$164,12,FALSE))</f>
        <v/>
      </c>
      <c r="R399" s="1045"/>
      <c r="S399" s="1046" t="str">
        <f>IF(B$398="","★の10事業年度後在職者数","事業年度在職者数")</f>
        <v>★の10事業年度後在職者数</v>
      </c>
      <c r="T399" s="1047"/>
      <c r="U399" s="1044" t="str">
        <f>IF($B$398="","",VLOOKUP($E399,$E$153:$T$164,14,FALSE))</f>
        <v/>
      </c>
      <c r="V399" s="1045"/>
      <c r="W399" s="304"/>
      <c r="X399" s="305"/>
      <c r="Y399" s="1048" t="str">
        <f>IF(B$398="","",IF(OR(O398="－",W398="－",W398=0),"－",ROUND(O398/W398,2)))</f>
        <v/>
      </c>
      <c r="Z399" s="1049"/>
      <c r="AA399" s="1050"/>
    </row>
    <row r="400" spans="2:28" s="172" customFormat="1" ht="16.5" customHeight="1" x14ac:dyDescent="0.15">
      <c r="B400" s="348"/>
      <c r="C400" s="1068"/>
      <c r="D400" s="350"/>
      <c r="E400" s="228" t="str">
        <f>IF(B398="","",B398&amp;F400)</f>
        <v/>
      </c>
      <c r="F400" s="1449" t="str">
        <f>IF(AND($W$165="非該当",$B$398&lt;&gt;""),DATE(YEAR($I$27)-11,MONTH($I$27),DAY($I$27)),"")</f>
        <v/>
      </c>
      <c r="G400" s="1450"/>
      <c r="H400" s="1451"/>
      <c r="I400" s="1044" t="str">
        <f>IF($B$398="","",VLOOKUP($E400,$E$153:$T$164,5,FALSE))</f>
        <v/>
      </c>
      <c r="J400" s="1045"/>
      <c r="K400" s="1046"/>
      <c r="L400" s="1047"/>
      <c r="M400" s="1044" t="str">
        <f>IF($B$398="","",VLOOKUP($E400,$E$153:$T$164,7,FALSE))</f>
        <v/>
      </c>
      <c r="N400" s="1045"/>
      <c r="O400" s="304"/>
      <c r="P400" s="305"/>
      <c r="Q400" s="1044" t="str">
        <f>IF($B$398="","",VLOOKUP($E400,$E$153:$T$164,12,FALSE))</f>
        <v/>
      </c>
      <c r="R400" s="1045"/>
      <c r="S400" s="1046"/>
      <c r="T400" s="1047"/>
      <c r="U400" s="1044" t="str">
        <f>IF($B$398="","",VLOOKUP($E400,$E$153:$T$164,14,FALSE))</f>
        <v/>
      </c>
      <c r="V400" s="1045"/>
      <c r="W400" s="304"/>
      <c r="X400" s="305"/>
      <c r="Y400" s="1048"/>
      <c r="Z400" s="1049"/>
      <c r="AA400" s="1050"/>
    </row>
    <row r="401" spans="2:28" s="172" customFormat="1" ht="16.5" customHeight="1" thickBot="1" x14ac:dyDescent="0.2">
      <c r="B401" s="348"/>
      <c r="C401" s="1068"/>
      <c r="D401" s="350"/>
      <c r="E401" s="233"/>
      <c r="F401" s="1033" t="s">
        <v>15</v>
      </c>
      <c r="G401" s="1034"/>
      <c r="H401" s="1035"/>
      <c r="I401" s="1036" t="str">
        <f>IF($B$398="","",SUM(I398:J400))</f>
        <v/>
      </c>
      <c r="J401" s="1037"/>
      <c r="K401" s="261"/>
      <c r="L401" s="262"/>
      <c r="M401" s="1036" t="str">
        <f>IF($B$398="","",SUM(M398:N400))</f>
        <v/>
      </c>
      <c r="N401" s="1037"/>
      <c r="O401" s="306"/>
      <c r="P401" s="307"/>
      <c r="Q401" s="1036" t="str">
        <f>IF($B$398="","",SUM(Q398:R400))</f>
        <v/>
      </c>
      <c r="R401" s="1037"/>
      <c r="S401" s="261"/>
      <c r="T401" s="262"/>
      <c r="U401" s="1036" t="str">
        <f>IF($B$398="","",SUM(U398:V400))</f>
        <v/>
      </c>
      <c r="V401" s="1037"/>
      <c r="W401" s="306"/>
      <c r="X401" s="307"/>
      <c r="Y401" s="1021"/>
      <c r="Z401" s="1022"/>
      <c r="AA401" s="1023"/>
    </row>
    <row r="402" spans="2:28" s="172" customFormat="1" ht="16.5" customHeight="1" x14ac:dyDescent="0.15">
      <c r="B402" s="348"/>
      <c r="C402" s="1068"/>
      <c r="D402" s="350"/>
      <c r="E402" s="233"/>
      <c r="F402" s="1452" t="str">
        <f>IF(AND($W$165="非該当",$B$398&lt;&gt;""),DATE(YEAR($I$27)-10,MONTH($I$27),DAY($I$27)),"")</f>
        <v/>
      </c>
      <c r="G402" s="1453"/>
      <c r="H402" s="1454"/>
      <c r="I402" s="1057" t="str">
        <f>IF(I399="","",I399)</f>
        <v/>
      </c>
      <c r="J402" s="1058"/>
      <c r="K402" s="1059" t="str">
        <f>IF(B$398="","",P17)</f>
        <v/>
      </c>
      <c r="L402" s="1060"/>
      <c r="M402" s="300"/>
      <c r="N402" s="301"/>
      <c r="O402" s="302" t="str">
        <f>IF(B$398="","",IF(I405&lt;1,"－",ROUND(M405/I405,3)))</f>
        <v/>
      </c>
      <c r="P402" s="303"/>
      <c r="Q402" s="1057" t="str">
        <f>IF(Q399="","",Q399)</f>
        <v/>
      </c>
      <c r="R402" s="1058"/>
      <c r="S402" s="1059" t="str">
        <f>IF(B$398="","",P17)</f>
        <v/>
      </c>
      <c r="T402" s="1060"/>
      <c r="U402" s="300"/>
      <c r="V402" s="301"/>
      <c r="W402" s="302" t="str">
        <f>IF(B$398="","",IF(Q405&lt;1,"－",ROUND(U405/Q405,3)))</f>
        <v/>
      </c>
      <c r="X402" s="303"/>
      <c r="Y402" s="1038" t="s">
        <v>171</v>
      </c>
      <c r="Z402" s="1039"/>
      <c r="AA402" s="1040"/>
    </row>
    <row r="403" spans="2:28" s="172" customFormat="1" ht="16.5" customHeight="1" x14ac:dyDescent="0.15">
      <c r="B403" s="348"/>
      <c r="C403" s="1068"/>
      <c r="D403" s="350"/>
      <c r="E403" s="228" t="str">
        <f>IF(B398="","",B398&amp;F403&amp;"その2")</f>
        <v/>
      </c>
      <c r="F403" s="1446" t="str">
        <f>IF(AND($W$165="非該当",$B$398&lt;&gt;""),DATE(YEAR($I$27)-11,MONTH($I$27),DAY($I$27)),"　　　　★")</f>
        <v>　　　　★</v>
      </c>
      <c r="G403" s="1447"/>
      <c r="H403" s="1448"/>
      <c r="I403" s="1044" t="str">
        <f>IF(I400="","",I400)</f>
        <v/>
      </c>
      <c r="J403" s="1045"/>
      <c r="K403" s="1046" t="str">
        <f>IF(B$398="","★の10事業年度後在職者数","事業年度在職者数")</f>
        <v>★の10事業年度後在職者数</v>
      </c>
      <c r="L403" s="1047"/>
      <c r="M403" s="318"/>
      <c r="N403" s="319"/>
      <c r="O403" s="304"/>
      <c r="P403" s="305"/>
      <c r="Q403" s="1044" t="str">
        <f>IF(Q400="","",Q400)</f>
        <v/>
      </c>
      <c r="R403" s="1045"/>
      <c r="S403" s="1046" t="str">
        <f>IF(B$398="","★の10事業年度後在職者数","事業年度在職者数")</f>
        <v>★の10事業年度後在職者数</v>
      </c>
      <c r="T403" s="1047"/>
      <c r="U403" s="318"/>
      <c r="V403" s="319"/>
      <c r="W403" s="304"/>
      <c r="X403" s="305"/>
      <c r="Y403" s="1048" t="str">
        <f>IF(B$398="","",IF(OR(O402="－",W402="－",W402=0),"－",ROUND(O402/W402,2)))</f>
        <v/>
      </c>
      <c r="Z403" s="1049"/>
      <c r="AA403" s="1050"/>
    </row>
    <row r="404" spans="2:28" s="172" customFormat="1" ht="16.5" customHeight="1" x14ac:dyDescent="0.15">
      <c r="B404" s="348"/>
      <c r="C404" s="1068"/>
      <c r="D404" s="350"/>
      <c r="E404" s="233"/>
      <c r="F404" s="1449" t="str">
        <f>IF(AND($W$165="非該当",$B$398&lt;&gt;""),DATE(YEAR($I$27)-12,MONTH($I$27),DAY($I$27)),"")</f>
        <v/>
      </c>
      <c r="G404" s="1450"/>
      <c r="H404" s="1451"/>
      <c r="I404" s="318"/>
      <c r="J404" s="319"/>
      <c r="K404" s="1046"/>
      <c r="L404" s="1047"/>
      <c r="M404" s="318"/>
      <c r="N404" s="319"/>
      <c r="O404" s="304"/>
      <c r="P404" s="305"/>
      <c r="Q404" s="318"/>
      <c r="R404" s="319"/>
      <c r="S404" s="1046"/>
      <c r="T404" s="1047"/>
      <c r="U404" s="318"/>
      <c r="V404" s="319"/>
      <c r="W404" s="304"/>
      <c r="X404" s="305"/>
      <c r="Y404" s="1048"/>
      <c r="Z404" s="1049"/>
      <c r="AA404" s="1050"/>
    </row>
    <row r="405" spans="2:28" s="172" customFormat="1" ht="16.5" customHeight="1" thickBot="1" x14ac:dyDescent="0.2">
      <c r="B405" s="348"/>
      <c r="C405" s="1068"/>
      <c r="D405" s="350"/>
      <c r="E405" s="233"/>
      <c r="F405" s="1033" t="s">
        <v>15</v>
      </c>
      <c r="G405" s="1034"/>
      <c r="H405" s="1035"/>
      <c r="I405" s="1036" t="str">
        <f>IF($B$398="","",SUM(I402:J404))</f>
        <v/>
      </c>
      <c r="J405" s="1037"/>
      <c r="K405" s="261"/>
      <c r="L405" s="262"/>
      <c r="M405" s="1036" t="str">
        <f>IF($B$398="","",SUM(M402:N404))</f>
        <v/>
      </c>
      <c r="N405" s="1037"/>
      <c r="O405" s="306"/>
      <c r="P405" s="307"/>
      <c r="Q405" s="1036" t="str">
        <f>IF($B$398="","",SUM(Q402:R404))</f>
        <v/>
      </c>
      <c r="R405" s="1037"/>
      <c r="S405" s="261"/>
      <c r="T405" s="262"/>
      <c r="U405" s="1036" t="str">
        <f>IF($B$398="","",SUM(U402:V404))</f>
        <v/>
      </c>
      <c r="V405" s="1037"/>
      <c r="W405" s="306"/>
      <c r="X405" s="307"/>
      <c r="Y405" s="1021"/>
      <c r="Z405" s="1022"/>
      <c r="AA405" s="1023"/>
    </row>
    <row r="406" spans="2:28" s="172" customFormat="1" ht="16.5" customHeight="1" x14ac:dyDescent="0.15">
      <c r="B406" s="348"/>
      <c r="C406" s="1068"/>
      <c r="D406" s="350"/>
      <c r="E406" s="233"/>
      <c r="F406" s="1452" t="str">
        <f>IF(AND($W$165="非該当",$B$398&lt;&gt;""),DATE(YEAR($I$27)-11,MONTH($I$27),DAY($I$27)),"")</f>
        <v/>
      </c>
      <c r="G406" s="1453"/>
      <c r="H406" s="1454"/>
      <c r="I406" s="1057" t="str">
        <f>IF(I403="","",I403)</f>
        <v/>
      </c>
      <c r="J406" s="1058"/>
      <c r="K406" s="1059" t="str">
        <f>IF(B$398="","",P18)</f>
        <v/>
      </c>
      <c r="L406" s="1060"/>
      <c r="M406" s="300"/>
      <c r="N406" s="301"/>
      <c r="O406" s="302" t="str">
        <f>IF(B$398="","",IF(I409&lt;1,"－",ROUND(M409/I409,3)))</f>
        <v/>
      </c>
      <c r="P406" s="303"/>
      <c r="Q406" s="1057" t="str">
        <f>IF(Q403="","",Q403)</f>
        <v/>
      </c>
      <c r="R406" s="1058"/>
      <c r="S406" s="1059" t="str">
        <f>IF(B$398="","",P18)</f>
        <v/>
      </c>
      <c r="T406" s="1060"/>
      <c r="U406" s="300"/>
      <c r="V406" s="301"/>
      <c r="W406" s="302" t="str">
        <f>IF(B$398="","",IF(Q409&lt;1,"－",ROUND(U409/Q409,3)))</f>
        <v/>
      </c>
      <c r="X406" s="303"/>
      <c r="Y406" s="1038" t="s">
        <v>172</v>
      </c>
      <c r="Z406" s="1039"/>
      <c r="AA406" s="1040"/>
    </row>
    <row r="407" spans="2:28" s="172" customFormat="1" ht="16.5" customHeight="1" x14ac:dyDescent="0.15">
      <c r="B407" s="348"/>
      <c r="C407" s="1068"/>
      <c r="D407" s="350"/>
      <c r="E407" s="228" t="str">
        <f>IF(B398="","",B398&amp;F407)</f>
        <v/>
      </c>
      <c r="F407" s="1446" t="str">
        <f>IF(AND($W$165="非該当",$B$398&lt;&gt;""),DATE(YEAR($I$27)-12,MONTH($I$27),DAY($I$27)),"　　　　★")</f>
        <v>　　　　★</v>
      </c>
      <c r="G407" s="1447"/>
      <c r="H407" s="1448"/>
      <c r="I407" s="1044" t="str">
        <f>IF(I404="","",I404)</f>
        <v/>
      </c>
      <c r="J407" s="1045"/>
      <c r="K407" s="1046" t="str">
        <f>IF(B$398="","★の10事業年度後在職者数","事業年度在職者数")</f>
        <v>★の10事業年度後在職者数</v>
      </c>
      <c r="L407" s="1047"/>
      <c r="M407" s="318"/>
      <c r="N407" s="319"/>
      <c r="O407" s="304"/>
      <c r="P407" s="305"/>
      <c r="Q407" s="1044" t="str">
        <f>IF(Q404="","",Q404)</f>
        <v/>
      </c>
      <c r="R407" s="1045"/>
      <c r="S407" s="1046" t="str">
        <f>IF(B$398="","★の10事業年度後在職者数","事業年度在職者数")</f>
        <v>★の10事業年度後在職者数</v>
      </c>
      <c r="T407" s="1047"/>
      <c r="U407" s="318"/>
      <c r="V407" s="319"/>
      <c r="W407" s="304"/>
      <c r="X407" s="305"/>
      <c r="Y407" s="1048" t="str">
        <f>IF(B$398="","",IF(OR(O406="－",W406="－",W406=0),"－",ROUND(O406/W406,2)))</f>
        <v/>
      </c>
      <c r="Z407" s="1049"/>
      <c r="AA407" s="1050"/>
    </row>
    <row r="408" spans="2:28" s="172" customFormat="1" ht="16.5" customHeight="1" x14ac:dyDescent="0.15">
      <c r="B408" s="348"/>
      <c r="C408" s="1068"/>
      <c r="D408" s="350"/>
      <c r="E408" s="233"/>
      <c r="F408" s="1449" t="str">
        <f>IF(AND($W$165="非該当",$B$398&lt;&gt;""),DATE(YEAR($I$27)-13,MONTH($I$27),DAY($I$27)),"")</f>
        <v/>
      </c>
      <c r="G408" s="1450"/>
      <c r="H408" s="1451"/>
      <c r="I408" s="318"/>
      <c r="J408" s="319"/>
      <c r="K408" s="1046"/>
      <c r="L408" s="1047"/>
      <c r="M408" s="318"/>
      <c r="N408" s="319"/>
      <c r="O408" s="304"/>
      <c r="P408" s="305"/>
      <c r="Q408" s="318"/>
      <c r="R408" s="319"/>
      <c r="S408" s="1046"/>
      <c r="T408" s="1047"/>
      <c r="U408" s="318"/>
      <c r="V408" s="319"/>
      <c r="W408" s="304"/>
      <c r="X408" s="305"/>
      <c r="Y408" s="1048"/>
      <c r="Z408" s="1049"/>
      <c r="AA408" s="1050"/>
    </row>
    <row r="409" spans="2:28" s="172" customFormat="1" ht="16.5" customHeight="1" thickBot="1" x14ac:dyDescent="0.2">
      <c r="B409" s="348"/>
      <c r="C409" s="1068"/>
      <c r="D409" s="350"/>
      <c r="E409" s="233"/>
      <c r="F409" s="1033" t="s">
        <v>15</v>
      </c>
      <c r="G409" s="1034"/>
      <c r="H409" s="1035"/>
      <c r="I409" s="1036" t="str">
        <f>IF($B$398="","",SUM(I406:J408))</f>
        <v/>
      </c>
      <c r="J409" s="1037"/>
      <c r="K409" s="261"/>
      <c r="L409" s="262"/>
      <c r="M409" s="1036" t="str">
        <f>IF($B$398="","",SUM(M406:N408))</f>
        <v/>
      </c>
      <c r="N409" s="1037"/>
      <c r="O409" s="306"/>
      <c r="P409" s="307"/>
      <c r="Q409" s="1036" t="str">
        <f>IF($B$398="","",SUM(Q406:R408))</f>
        <v/>
      </c>
      <c r="R409" s="1037"/>
      <c r="S409" s="261"/>
      <c r="T409" s="262"/>
      <c r="U409" s="1036" t="str">
        <f>IF($B$398="","",SUM(U406:V408))</f>
        <v/>
      </c>
      <c r="V409" s="1037"/>
      <c r="W409" s="306"/>
      <c r="X409" s="307"/>
      <c r="Y409" s="1021"/>
      <c r="Z409" s="1022"/>
      <c r="AA409" s="1023"/>
    </row>
    <row r="410" spans="2:28" s="172" customFormat="1" ht="16.5" customHeight="1" x14ac:dyDescent="0.15">
      <c r="B410" s="348"/>
      <c r="C410" s="1068"/>
      <c r="D410" s="350"/>
      <c r="E410" s="233"/>
      <c r="F410" s="1452" t="str">
        <f>IF(AND($W$165="非該当",$B$398&lt;&gt;""),DATE(YEAR($I$27)-12,MONTH($I$27),DAY($I$27)),"")</f>
        <v/>
      </c>
      <c r="G410" s="1453"/>
      <c r="H410" s="1454"/>
      <c r="I410" s="1057" t="str">
        <f>IF(I407="","",I407)</f>
        <v/>
      </c>
      <c r="J410" s="1058"/>
      <c r="K410" s="1059" t="str">
        <f>IF(B$398="","",P19)</f>
        <v/>
      </c>
      <c r="L410" s="1060"/>
      <c r="M410" s="300"/>
      <c r="N410" s="301"/>
      <c r="O410" s="302" t="str">
        <f>IF(B$398="","",IF(I413&lt;1,"－",ROUND(M413/I413,3)))</f>
        <v/>
      </c>
      <c r="P410" s="303"/>
      <c r="Q410" s="1057" t="str">
        <f>IF(Q407="","",Q407)</f>
        <v/>
      </c>
      <c r="R410" s="1058"/>
      <c r="S410" s="1059" t="str">
        <f>IF(B$398="","",P19)</f>
        <v/>
      </c>
      <c r="T410" s="1060"/>
      <c r="U410" s="300"/>
      <c r="V410" s="301"/>
      <c r="W410" s="302" t="str">
        <f>IF(B$398="","",IF(Q413&lt;1,"－",ROUND(U413/Q413,3)))</f>
        <v/>
      </c>
      <c r="X410" s="303"/>
      <c r="Y410" s="1038" t="s">
        <v>173</v>
      </c>
      <c r="Z410" s="1039"/>
      <c r="AA410" s="1040"/>
      <c r="AB410" s="264"/>
    </row>
    <row r="411" spans="2:28" s="172" customFormat="1" ht="16.5" customHeight="1" x14ac:dyDescent="0.15">
      <c r="B411" s="348"/>
      <c r="C411" s="1068"/>
      <c r="D411" s="350"/>
      <c r="E411" s="228" t="str">
        <f>IF(B398="","",B398&amp;F411)</f>
        <v/>
      </c>
      <c r="F411" s="1446" t="str">
        <f>IF(AND($W$165="非該当",$B$398&lt;&gt;""),DATE(YEAR($I$27)-13,MONTH($I$27),DAY($I$27)),"　　　　★")</f>
        <v>　　　　★</v>
      </c>
      <c r="G411" s="1447"/>
      <c r="H411" s="1448"/>
      <c r="I411" s="1044" t="str">
        <f>IF(I408="","",I408)</f>
        <v/>
      </c>
      <c r="J411" s="1045"/>
      <c r="K411" s="1046" t="str">
        <f>IF(B$398="","★の10事業年度後在職者数","事業年度在職者数")</f>
        <v>★の10事業年度後在職者数</v>
      </c>
      <c r="L411" s="1047"/>
      <c r="M411" s="318"/>
      <c r="N411" s="319"/>
      <c r="O411" s="304"/>
      <c r="P411" s="305"/>
      <c r="Q411" s="1044" t="str">
        <f>IF(Q408="","",Q408)</f>
        <v/>
      </c>
      <c r="R411" s="1045"/>
      <c r="S411" s="1046" t="str">
        <f>IF(B$398="","★の10事業年度後在職者数","事業年度在職者数")</f>
        <v>★の10事業年度後在職者数</v>
      </c>
      <c r="T411" s="1047"/>
      <c r="U411" s="318"/>
      <c r="V411" s="319"/>
      <c r="W411" s="304"/>
      <c r="X411" s="305"/>
      <c r="Y411" s="1048" t="str">
        <f>IF(B$398="","",IF(OR(O410="－",W410="－",W410=0),"－",ROUND(O410/W410,2)))</f>
        <v/>
      </c>
      <c r="Z411" s="1049"/>
      <c r="AA411" s="1050"/>
      <c r="AB411" s="264"/>
    </row>
    <row r="412" spans="2:28" s="172" customFormat="1" ht="16.5" customHeight="1" x14ac:dyDescent="0.15">
      <c r="B412" s="348"/>
      <c r="C412" s="1068"/>
      <c r="D412" s="350"/>
      <c r="E412" s="233"/>
      <c r="F412" s="1449" t="str">
        <f>IF(AND($W$165="非該当",$B$398&lt;&gt;""),DATE(YEAR($I$27)-14,MONTH($I$27),DAY($I$27)),"")</f>
        <v/>
      </c>
      <c r="G412" s="1450"/>
      <c r="H412" s="1451"/>
      <c r="I412" s="318"/>
      <c r="J412" s="319"/>
      <c r="K412" s="1046"/>
      <c r="L412" s="1047"/>
      <c r="M412" s="318"/>
      <c r="N412" s="319"/>
      <c r="O412" s="304"/>
      <c r="P412" s="305"/>
      <c r="Q412" s="318"/>
      <c r="R412" s="319"/>
      <c r="S412" s="1046"/>
      <c r="T412" s="1047"/>
      <c r="U412" s="318"/>
      <c r="V412" s="319"/>
      <c r="W412" s="304"/>
      <c r="X412" s="305"/>
      <c r="Y412" s="1048"/>
      <c r="Z412" s="1049"/>
      <c r="AA412" s="1050"/>
      <c r="AB412" s="264"/>
    </row>
    <row r="413" spans="2:28" s="172" customFormat="1" ht="16.5" customHeight="1" thickBot="1" x14ac:dyDescent="0.2">
      <c r="B413" s="348"/>
      <c r="C413" s="1068"/>
      <c r="D413" s="350"/>
      <c r="E413" s="233"/>
      <c r="F413" s="1033" t="s">
        <v>15</v>
      </c>
      <c r="G413" s="1034"/>
      <c r="H413" s="1035"/>
      <c r="I413" s="1036" t="str">
        <f>IF($B$398="","",SUM(I410:J412))</f>
        <v/>
      </c>
      <c r="J413" s="1037"/>
      <c r="K413" s="261"/>
      <c r="L413" s="262"/>
      <c r="M413" s="1036" t="str">
        <f>IF($B$398="","",SUM(M410:N412))</f>
        <v/>
      </c>
      <c r="N413" s="1037"/>
      <c r="O413" s="306"/>
      <c r="P413" s="307"/>
      <c r="Q413" s="1036" t="str">
        <f>IF($B$398="","",SUM(Q410:R412))</f>
        <v/>
      </c>
      <c r="R413" s="1037"/>
      <c r="S413" s="261"/>
      <c r="T413" s="262"/>
      <c r="U413" s="1036" t="str">
        <f>IF($B$398="","",SUM(U410:V412))</f>
        <v/>
      </c>
      <c r="V413" s="1037"/>
      <c r="W413" s="306"/>
      <c r="X413" s="307"/>
      <c r="Y413" s="1021"/>
      <c r="Z413" s="1022"/>
      <c r="AA413" s="1023"/>
      <c r="AB413" s="264"/>
    </row>
    <row r="414" spans="2:28" s="172" customFormat="1" ht="16.5" customHeight="1" x14ac:dyDescent="0.15">
      <c r="B414" s="348"/>
      <c r="C414" s="1068"/>
      <c r="D414" s="350"/>
      <c r="E414" s="233"/>
      <c r="F414" s="1452" t="str">
        <f>IF(AND($W$165="非該当",$B$398&lt;&gt;""),DATE(YEAR($I$27)-13,MONTH($I$27),DAY($I$27)),"")</f>
        <v/>
      </c>
      <c r="G414" s="1453"/>
      <c r="H414" s="1454"/>
      <c r="I414" s="1057" t="str">
        <f>IF(I411="","",I411)</f>
        <v/>
      </c>
      <c r="J414" s="1058"/>
      <c r="K414" s="1059" t="str">
        <f>IF(B$398="","",P20)</f>
        <v/>
      </c>
      <c r="L414" s="1060"/>
      <c r="M414" s="300"/>
      <c r="N414" s="301"/>
      <c r="O414" s="302" t="str">
        <f>IF(B$398="","",IF(I417&lt;1,"－",ROUND(M417/I417,3)))</f>
        <v/>
      </c>
      <c r="P414" s="303"/>
      <c r="Q414" s="1057" t="str">
        <f>IF(Q411="","",Q411)</f>
        <v/>
      </c>
      <c r="R414" s="1058"/>
      <c r="S414" s="1059" t="str">
        <f>IF(B$398="","",P20)</f>
        <v/>
      </c>
      <c r="T414" s="1060"/>
      <c r="U414" s="300"/>
      <c r="V414" s="301"/>
      <c r="W414" s="302" t="str">
        <f>IF(B$398="","",IF(Q417&lt;1,"－",ROUND(U417/Q417,3)))</f>
        <v/>
      </c>
      <c r="X414" s="303"/>
      <c r="Y414" s="1038" t="s">
        <v>174</v>
      </c>
      <c r="Z414" s="1039"/>
      <c r="AA414" s="1040"/>
    </row>
    <row r="415" spans="2:28" s="172" customFormat="1" ht="16.5" customHeight="1" x14ac:dyDescent="0.15">
      <c r="B415" s="348"/>
      <c r="C415" s="1068"/>
      <c r="D415" s="350"/>
      <c r="E415" s="228" t="str">
        <f>IF(B398="","",B398&amp;F415)</f>
        <v/>
      </c>
      <c r="F415" s="1446" t="str">
        <f>IF(AND($W$165="非該当",$B$398&lt;&gt;""),DATE(YEAR($I$27)-14,MONTH($I$27),DAY($I$27)),"　　　　★")</f>
        <v>　　　　★</v>
      </c>
      <c r="G415" s="1447"/>
      <c r="H415" s="1448"/>
      <c r="I415" s="1044" t="str">
        <f>IF(I412="","",I412)</f>
        <v/>
      </c>
      <c r="J415" s="1045"/>
      <c r="K415" s="1046" t="str">
        <f>IF(B$398="","★の10事業年度後在職者数","事業年度在職者数")</f>
        <v>★の10事業年度後在職者数</v>
      </c>
      <c r="L415" s="1047"/>
      <c r="M415" s="318"/>
      <c r="N415" s="319"/>
      <c r="O415" s="304"/>
      <c r="P415" s="305"/>
      <c r="Q415" s="1044" t="str">
        <f>IF(Q412="","",Q412)</f>
        <v/>
      </c>
      <c r="R415" s="1045"/>
      <c r="S415" s="1046" t="str">
        <f>IF(B$398="","★の10事業年度後在職者数","事業年度在職者数")</f>
        <v>★の10事業年度後在職者数</v>
      </c>
      <c r="T415" s="1047"/>
      <c r="U415" s="318"/>
      <c r="V415" s="319"/>
      <c r="W415" s="304"/>
      <c r="X415" s="305"/>
      <c r="Y415" s="1048" t="str">
        <f>IF(B$398="","",IF(OR(O414="－",W414="－",W414=0),"－",ROUND(O414/W414,2)))</f>
        <v/>
      </c>
      <c r="Z415" s="1049"/>
      <c r="AA415" s="1050"/>
    </row>
    <row r="416" spans="2:28" s="172" customFormat="1" ht="16.5" customHeight="1" x14ac:dyDescent="0.15">
      <c r="B416" s="348"/>
      <c r="C416" s="1068"/>
      <c r="D416" s="350"/>
      <c r="E416" s="233"/>
      <c r="F416" s="1449" t="str">
        <f>IF(AND($W$165="非該当",$B$398&lt;&gt;""),DATE(YEAR($I$27)-15,MONTH($I$27),DAY($I$27)),"")</f>
        <v/>
      </c>
      <c r="G416" s="1450"/>
      <c r="H416" s="1451"/>
      <c r="I416" s="318"/>
      <c r="J416" s="319"/>
      <c r="K416" s="1046"/>
      <c r="L416" s="1047"/>
      <c r="M416" s="318"/>
      <c r="N416" s="319"/>
      <c r="O416" s="304"/>
      <c r="P416" s="305"/>
      <c r="Q416" s="318"/>
      <c r="R416" s="319"/>
      <c r="S416" s="1046"/>
      <c r="T416" s="1047"/>
      <c r="U416" s="318"/>
      <c r="V416" s="319"/>
      <c r="W416" s="304"/>
      <c r="X416" s="305"/>
      <c r="Y416" s="1048"/>
      <c r="Z416" s="1049"/>
      <c r="AA416" s="1050"/>
    </row>
    <row r="417" spans="2:27" s="172" customFormat="1" ht="16.5" customHeight="1" thickBot="1" x14ac:dyDescent="0.2">
      <c r="B417" s="348"/>
      <c r="C417" s="1068"/>
      <c r="D417" s="350"/>
      <c r="E417" s="233"/>
      <c r="F417" s="1033" t="s">
        <v>15</v>
      </c>
      <c r="G417" s="1034"/>
      <c r="H417" s="1035"/>
      <c r="I417" s="1036" t="str">
        <f>IF($B$398="","",SUM(I414:J416))</f>
        <v/>
      </c>
      <c r="J417" s="1037"/>
      <c r="K417" s="261"/>
      <c r="L417" s="262"/>
      <c r="M417" s="1036" t="str">
        <f>IF($B$398="","",SUM(M414:N416))</f>
        <v/>
      </c>
      <c r="N417" s="1037"/>
      <c r="O417" s="306"/>
      <c r="P417" s="307"/>
      <c r="Q417" s="1036" t="str">
        <f>IF($B$398="","",SUM(Q414:R416))</f>
        <v/>
      </c>
      <c r="R417" s="1037"/>
      <c r="S417" s="261"/>
      <c r="T417" s="262"/>
      <c r="U417" s="1036" t="str">
        <f>IF($B$398="","",SUM(U414:V416))</f>
        <v/>
      </c>
      <c r="V417" s="1037"/>
      <c r="W417" s="306"/>
      <c r="X417" s="307"/>
      <c r="Y417" s="1021"/>
      <c r="Z417" s="1022"/>
      <c r="AA417" s="1023"/>
    </row>
    <row r="418" spans="2:27" s="172" customFormat="1" ht="16.5" customHeight="1" x14ac:dyDescent="0.15">
      <c r="B418" s="348"/>
      <c r="C418" s="1068"/>
      <c r="D418" s="350"/>
      <c r="E418" s="228" t="str">
        <f>B398&amp;1</f>
        <v>1</v>
      </c>
      <c r="F418" s="265" t="str">
        <f>IF(F408=""," 9～13年前採用者の３事業年度ごと継続雇用割合男女比の平均（ア～ウの平均）",S15&amp;"～"&amp;T19&amp;"採用者の３事業年度ごと継続雇用割合男女比の平均（ア～ウの平均）")</f>
        <v xml:space="preserve"> 9～13年前採用者の３事業年度ごと継続雇用割合男女比の平均（ア～ウの平均）</v>
      </c>
      <c r="G418" s="266"/>
      <c r="H418" s="266"/>
      <c r="I418" s="266"/>
      <c r="J418" s="266"/>
      <c r="K418" s="266"/>
      <c r="L418" s="266"/>
      <c r="M418" s="266"/>
      <c r="N418" s="266"/>
      <c r="O418" s="266"/>
      <c r="P418" s="266"/>
      <c r="Q418" s="266"/>
      <c r="R418" s="266"/>
      <c r="S418" s="266"/>
      <c r="T418" s="266"/>
      <c r="U418" s="266"/>
      <c r="V418" s="266"/>
      <c r="W418" s="266"/>
      <c r="X418" s="267"/>
      <c r="Y418" s="1024" t="str">
        <f>IF(B398="","",IF(OR(Y399="－",Y403="－",Y407="－"),"算出不能",ROUND(AVERAGE(Y399,Y403,Y407),3)))</f>
        <v/>
      </c>
      <c r="Z418" s="1025"/>
      <c r="AA418" s="1026"/>
    </row>
    <row r="419" spans="2:27" s="172" customFormat="1" ht="16.5" customHeight="1" x14ac:dyDescent="0.15">
      <c r="B419" s="348"/>
      <c r="C419" s="1068"/>
      <c r="D419" s="350"/>
      <c r="E419" s="228" t="str">
        <f>B398&amp;2</f>
        <v>2</v>
      </c>
      <c r="F419" s="268" t="str">
        <f>IF(F412="","10～14年前採用者の　　　　　　　　〃　　　　　　　　　　（イ～エの平均）",S16&amp;"～"&amp;T20&amp;"採用者の　　　　　　　　〃　　　　　　　　　　（イ～エの平均）")</f>
        <v>10～14年前採用者の　　　　　　　　〃　　　　　　　　　　（イ～エの平均）</v>
      </c>
      <c r="G419" s="269"/>
      <c r="H419" s="269"/>
      <c r="I419" s="269"/>
      <c r="J419" s="269"/>
      <c r="K419" s="269"/>
      <c r="L419" s="269"/>
      <c r="M419" s="269"/>
      <c r="N419" s="269"/>
      <c r="O419" s="270"/>
      <c r="P419" s="270"/>
      <c r="Q419" s="270"/>
      <c r="R419" s="270"/>
      <c r="S419" s="269"/>
      <c r="T419" s="269"/>
      <c r="U419" s="269"/>
      <c r="V419" s="269"/>
      <c r="W419" s="269"/>
      <c r="X419" s="271"/>
      <c r="Y419" s="1027" t="str">
        <f>IF(B398="","",IF(OR(Y403="－",Y407="－",Y411="－"),"算出不能",ROUND(AVERAGE(Y403,Y407,Y411),3)))</f>
        <v/>
      </c>
      <c r="Z419" s="1028"/>
      <c r="AA419" s="1029"/>
    </row>
    <row r="420" spans="2:27" ht="16.5" customHeight="1" thickBot="1" x14ac:dyDescent="0.2">
      <c r="B420" s="351"/>
      <c r="C420" s="352"/>
      <c r="D420" s="353"/>
      <c r="E420" s="228" t="str">
        <f>B398&amp;3</f>
        <v>3</v>
      </c>
      <c r="F420" s="272" t="str">
        <f>IF(F416="","11～15年前採用者の　　　　　　　　〃　　　　　　　　　　（ウ～オの平均）",S17&amp;"～"&amp;T21&amp;"採用者の　　　　　　　　〃　　　　　　　　　　（ウ～オの平均）")</f>
        <v>11～15年前採用者の　　　　　　　　〃　　　　　　　　　　（ウ～オの平均）</v>
      </c>
      <c r="G420" s="273"/>
      <c r="H420" s="273"/>
      <c r="I420" s="273"/>
      <c r="J420" s="273"/>
      <c r="K420" s="273"/>
      <c r="L420" s="273"/>
      <c r="M420" s="273"/>
      <c r="N420" s="273"/>
      <c r="O420" s="273"/>
      <c r="P420" s="273"/>
      <c r="Q420" s="273"/>
      <c r="R420" s="273"/>
      <c r="S420" s="273"/>
      <c r="T420" s="273"/>
      <c r="U420" s="274"/>
      <c r="V420" s="273"/>
      <c r="W420" s="274"/>
      <c r="X420" s="275"/>
      <c r="Y420" s="1030" t="str">
        <f>IF(B398="","",IF(OR(Y407="－",Y411="－",Y415="－"),"算出不能",ROUND(AVERAGE(Y407,Y411,Y415),3)))</f>
        <v/>
      </c>
      <c r="Z420" s="1031"/>
      <c r="AA420" s="1032"/>
    </row>
    <row r="422" spans="2:27" ht="17.25" customHeight="1" x14ac:dyDescent="0.15"/>
    <row r="423" spans="2:27" ht="17.25" customHeight="1" x14ac:dyDescent="0.15"/>
    <row r="424" spans="2:27" ht="17.25" customHeight="1" x14ac:dyDescent="0.15"/>
    <row r="425" spans="2:27" ht="17.25" customHeight="1" x14ac:dyDescent="0.15"/>
    <row r="426" spans="2:27" ht="17.25" customHeight="1" x14ac:dyDescent="0.15"/>
    <row r="427" spans="2:27" ht="17.25" customHeight="1" x14ac:dyDescent="0.15"/>
    <row r="428" spans="2:27" ht="17.25" customHeight="1" x14ac:dyDescent="0.15"/>
    <row r="429" spans="2:27" ht="17.25" customHeight="1" x14ac:dyDescent="0.15"/>
    <row r="430" spans="2:27" ht="17.25" customHeight="1" x14ac:dyDescent="0.15"/>
    <row r="431" spans="2:27" ht="17.25" customHeight="1" x14ac:dyDescent="0.15"/>
    <row r="432" spans="2:27" ht="17.25" customHeight="1" x14ac:dyDescent="0.15"/>
    <row r="433" ht="17.25" customHeight="1" x14ac:dyDescent="0.15"/>
    <row r="434" ht="17.25" customHeight="1" x14ac:dyDescent="0.15"/>
    <row r="435" ht="17.25" customHeight="1" x14ac:dyDescent="0.15"/>
    <row r="436" ht="17.25" customHeight="1" x14ac:dyDescent="0.15"/>
    <row r="437" ht="17.25" customHeight="1" x14ac:dyDescent="0.15"/>
    <row r="438" ht="17.25" customHeight="1" x14ac:dyDescent="0.15"/>
    <row r="439" ht="17.25" customHeight="1" x14ac:dyDescent="0.15"/>
    <row r="440" ht="17.25" customHeight="1" x14ac:dyDescent="0.15"/>
    <row r="441" ht="17.25" customHeight="1" x14ac:dyDescent="0.15"/>
    <row r="442" ht="17.25" customHeight="1" x14ac:dyDescent="0.15"/>
    <row r="443" ht="17.25" customHeight="1" x14ac:dyDescent="0.15"/>
    <row r="444" ht="17.25" customHeight="1" x14ac:dyDescent="0.15"/>
    <row r="445" ht="17.25" customHeight="1" x14ac:dyDescent="0.15"/>
    <row r="446" ht="17.25" customHeight="1" x14ac:dyDescent="0.15"/>
    <row r="447" ht="17.25" customHeight="1" x14ac:dyDescent="0.15"/>
    <row r="448" ht="17.25" customHeight="1" x14ac:dyDescent="0.15"/>
    <row r="449" ht="17.25" customHeight="1" x14ac:dyDescent="0.15"/>
    <row r="450" ht="17.25" customHeight="1" x14ac:dyDescent="0.15"/>
    <row r="451" ht="17.25" customHeight="1" x14ac:dyDescent="0.15"/>
    <row r="452" ht="17.25" customHeight="1" x14ac:dyDescent="0.15"/>
    <row r="453" ht="17.25" customHeight="1" x14ac:dyDescent="0.15"/>
    <row r="454" ht="19.5" customHeight="1" x14ac:dyDescent="0.15"/>
    <row r="455" ht="19.5" customHeight="1" x14ac:dyDescent="0.15"/>
    <row r="456" ht="19.5" customHeight="1" x14ac:dyDescent="0.15"/>
    <row r="457" ht="19.5" customHeight="1" x14ac:dyDescent="0.15"/>
    <row r="458" ht="19.5" customHeight="1" x14ac:dyDescent="0.15"/>
    <row r="459" ht="19.5" customHeight="1" x14ac:dyDescent="0.15"/>
    <row r="460" ht="19.5" customHeight="1" x14ac:dyDescent="0.15"/>
    <row r="461" ht="19.5" customHeight="1" x14ac:dyDescent="0.15"/>
    <row r="462" ht="19.5" customHeight="1" x14ac:dyDescent="0.15"/>
    <row r="463" ht="19.5" customHeight="1" x14ac:dyDescent="0.15"/>
    <row r="464" ht="19.5" customHeight="1" x14ac:dyDescent="0.15"/>
    <row r="465" ht="19.5" customHeight="1" x14ac:dyDescent="0.15"/>
    <row r="466" ht="19.5" customHeight="1" x14ac:dyDescent="0.15"/>
    <row r="467" ht="19.5" customHeight="1" x14ac:dyDescent="0.15"/>
    <row r="468" ht="19.5" customHeight="1" x14ac:dyDescent="0.15"/>
    <row r="469" ht="19.5" customHeight="1" x14ac:dyDescent="0.15"/>
    <row r="470" ht="19.5" customHeight="1" x14ac:dyDescent="0.15"/>
    <row r="471" ht="19.5" customHeight="1" x14ac:dyDescent="0.15"/>
    <row r="472" ht="19.5" customHeight="1" x14ac:dyDescent="0.15"/>
    <row r="473" ht="19.5" customHeight="1" x14ac:dyDescent="0.15"/>
    <row r="474" ht="19.5" customHeight="1" x14ac:dyDescent="0.15"/>
    <row r="475" ht="19.5" customHeight="1" x14ac:dyDescent="0.15"/>
    <row r="476" ht="19.5" customHeight="1" x14ac:dyDescent="0.15"/>
    <row r="477" ht="19.5" customHeight="1" x14ac:dyDescent="0.15"/>
    <row r="478" ht="19.5" customHeight="1" x14ac:dyDescent="0.15"/>
    <row r="479" ht="19.5" customHeight="1" x14ac:dyDescent="0.15"/>
    <row r="480" ht="19.5" customHeight="1" x14ac:dyDescent="0.15"/>
    <row r="481" ht="19.5" customHeight="1" x14ac:dyDescent="0.15"/>
    <row r="482" ht="19.5" customHeight="1" x14ac:dyDescent="0.15"/>
    <row r="483" ht="19.5" customHeight="1" x14ac:dyDescent="0.15"/>
    <row r="484" ht="19.5" customHeight="1" x14ac:dyDescent="0.15"/>
    <row r="485" ht="19.5" customHeight="1" x14ac:dyDescent="0.15"/>
    <row r="486" ht="19.5" customHeight="1" x14ac:dyDescent="0.15"/>
    <row r="487" ht="19.5" customHeight="1" x14ac:dyDescent="0.15"/>
    <row r="488" ht="19.5" customHeight="1" x14ac:dyDescent="0.15"/>
    <row r="489" ht="19.5" customHeight="1" x14ac:dyDescent="0.15"/>
    <row r="490" ht="19.5" customHeight="1" x14ac:dyDescent="0.15"/>
    <row r="491" ht="19.5" customHeight="1" x14ac:dyDescent="0.15"/>
    <row r="492" ht="19.5" customHeight="1" x14ac:dyDescent="0.15"/>
    <row r="493" ht="19.5" customHeight="1" x14ac:dyDescent="0.15"/>
    <row r="494" ht="19.5" customHeight="1" x14ac:dyDescent="0.15"/>
    <row r="495" ht="19.5" customHeight="1" x14ac:dyDescent="0.15"/>
    <row r="496" ht="19.5" customHeight="1" x14ac:dyDescent="0.15"/>
    <row r="497" ht="19.5" customHeight="1" x14ac:dyDescent="0.15"/>
    <row r="498" ht="19.5" customHeight="1" x14ac:dyDescent="0.15"/>
    <row r="499" ht="19.5" customHeight="1" x14ac:dyDescent="0.15"/>
    <row r="500" ht="19.5" customHeight="1" x14ac:dyDescent="0.15"/>
    <row r="501" ht="19.5" customHeight="1" x14ac:dyDescent="0.15"/>
    <row r="502" ht="19.5" customHeight="1" x14ac:dyDescent="0.15"/>
    <row r="503" ht="19.5" customHeight="1" x14ac:dyDescent="0.15"/>
    <row r="504" ht="19.5" customHeight="1" x14ac:dyDescent="0.15"/>
    <row r="505" ht="19.5" customHeight="1" x14ac:dyDescent="0.15"/>
    <row r="506" ht="19.5" customHeight="1" x14ac:dyDescent="0.15"/>
    <row r="507" ht="19.5" customHeight="1" x14ac:dyDescent="0.15"/>
    <row r="508" ht="19.5" customHeight="1" x14ac:dyDescent="0.15"/>
    <row r="509" ht="19.5" customHeight="1" x14ac:dyDescent="0.15"/>
    <row r="510" ht="19.5" customHeight="1" x14ac:dyDescent="0.15"/>
    <row r="511" ht="19.5" customHeight="1" x14ac:dyDescent="0.15"/>
    <row r="512" ht="19.5" customHeight="1" x14ac:dyDescent="0.15"/>
    <row r="513" ht="19.5" customHeight="1" x14ac:dyDescent="0.15"/>
    <row r="514" ht="19.5" customHeight="1" x14ac:dyDescent="0.15"/>
    <row r="515" ht="19.5" customHeight="1" x14ac:dyDescent="0.15"/>
    <row r="516" ht="19.5" customHeight="1" x14ac:dyDescent="0.15"/>
    <row r="517" ht="19.5" customHeight="1" x14ac:dyDescent="0.15"/>
    <row r="518" ht="19.5" customHeight="1" x14ac:dyDescent="0.15"/>
    <row r="519" ht="19.5" customHeight="1" x14ac:dyDescent="0.15"/>
    <row r="520" ht="19.5" customHeight="1" x14ac:dyDescent="0.15"/>
    <row r="521" ht="19.5" customHeight="1" x14ac:dyDescent="0.15"/>
    <row r="522" ht="19.5" customHeight="1" x14ac:dyDescent="0.15"/>
    <row r="523" ht="19.5" customHeight="1" x14ac:dyDescent="0.15"/>
    <row r="524" ht="19.5" customHeight="1" x14ac:dyDescent="0.15"/>
    <row r="525" ht="19.5" customHeight="1" x14ac:dyDescent="0.15"/>
    <row r="526" ht="19.5" customHeight="1" x14ac:dyDescent="0.15"/>
    <row r="527" ht="19.5" customHeight="1" x14ac:dyDescent="0.15"/>
    <row r="528" ht="19.5" customHeight="1" x14ac:dyDescent="0.15"/>
    <row r="529" ht="19.5" customHeight="1" x14ac:dyDescent="0.15"/>
    <row r="530" ht="19.5" customHeight="1" x14ac:dyDescent="0.15"/>
    <row r="531" ht="19.5" customHeight="1" x14ac:dyDescent="0.15"/>
    <row r="532" ht="19.5" customHeight="1" x14ac:dyDescent="0.15"/>
    <row r="533" ht="19.5" customHeight="1" x14ac:dyDescent="0.15"/>
    <row r="534" ht="19.5" customHeight="1" x14ac:dyDescent="0.15"/>
    <row r="535" ht="19.5" customHeight="1" x14ac:dyDescent="0.15"/>
    <row r="536" ht="19.5" customHeight="1" x14ac:dyDescent="0.15"/>
    <row r="537" ht="19.5" customHeight="1" x14ac:dyDescent="0.15"/>
    <row r="538" ht="19.5" customHeight="1" x14ac:dyDescent="0.15"/>
    <row r="539" ht="19.5" customHeight="1" x14ac:dyDescent="0.15"/>
    <row r="540" ht="19.5" customHeight="1" x14ac:dyDescent="0.15"/>
    <row r="541" ht="19.5" customHeight="1" x14ac:dyDescent="0.15"/>
    <row r="542" ht="19.5" customHeight="1" x14ac:dyDescent="0.15"/>
    <row r="543" ht="19.5" customHeight="1" x14ac:dyDescent="0.15"/>
    <row r="544" ht="19.5" customHeight="1" x14ac:dyDescent="0.15"/>
    <row r="545" ht="19.5" customHeight="1" x14ac:dyDescent="0.15"/>
  </sheetData>
  <sheetProtection sheet="1" objects="1" scenarios="1"/>
  <mergeCells count="1833">
    <mergeCell ref="B2:AA2"/>
    <mergeCell ref="B4:AA4"/>
    <mergeCell ref="B6:AA6"/>
    <mergeCell ref="T7:Z7"/>
    <mergeCell ref="U20:V21"/>
    <mergeCell ref="W20:AA21"/>
    <mergeCell ref="B25:F26"/>
    <mergeCell ref="I25:J25"/>
    <mergeCell ref="K25:K26"/>
    <mergeCell ref="L25:M26"/>
    <mergeCell ref="N25:Q25"/>
    <mergeCell ref="R25:AA25"/>
    <mergeCell ref="I26:J26"/>
    <mergeCell ref="N26:Q26"/>
    <mergeCell ref="R26:AA26"/>
    <mergeCell ref="B23:F23"/>
    <mergeCell ref="G23:Q23"/>
    <mergeCell ref="R23:T24"/>
    <mergeCell ref="U23:V23"/>
    <mergeCell ref="W23:AA23"/>
    <mergeCell ref="B24:F24"/>
    <mergeCell ref="G24:Q24"/>
    <mergeCell ref="U24:V24"/>
    <mergeCell ref="W24:AA24"/>
    <mergeCell ref="B30:H30"/>
    <mergeCell ref="I30:M30"/>
    <mergeCell ref="B31:H31"/>
    <mergeCell ref="J31:M31"/>
    <mergeCell ref="N31:Q31"/>
    <mergeCell ref="R31:U31"/>
    <mergeCell ref="Z27:AA27"/>
    <mergeCell ref="B28:F28"/>
    <mergeCell ref="G28:H28"/>
    <mergeCell ref="I28:M28"/>
    <mergeCell ref="N28:O28"/>
    <mergeCell ref="P28:T28"/>
    <mergeCell ref="U28:V28"/>
    <mergeCell ref="W28:AA28"/>
    <mergeCell ref="B27:F27"/>
    <mergeCell ref="G27:H27"/>
    <mergeCell ref="I27:M27"/>
    <mergeCell ref="N27:O27"/>
    <mergeCell ref="P27:T27"/>
    <mergeCell ref="X27:Y27"/>
    <mergeCell ref="Z32:AA32"/>
    <mergeCell ref="C33:H33"/>
    <mergeCell ref="J33:M33"/>
    <mergeCell ref="N33:Q33"/>
    <mergeCell ref="R33:U33"/>
    <mergeCell ref="V33:W33"/>
    <mergeCell ref="X33:Y33"/>
    <mergeCell ref="Z33:AA33"/>
    <mergeCell ref="V31:W31"/>
    <mergeCell ref="X31:Y31"/>
    <mergeCell ref="Z31:AA31"/>
    <mergeCell ref="B32:B34"/>
    <mergeCell ref="C32:H32"/>
    <mergeCell ref="J32:M32"/>
    <mergeCell ref="N32:Q32"/>
    <mergeCell ref="R32:U32"/>
    <mergeCell ref="V32:W32"/>
    <mergeCell ref="X32:Y32"/>
    <mergeCell ref="Z36:AA36"/>
    <mergeCell ref="C37:H37"/>
    <mergeCell ref="J37:M37"/>
    <mergeCell ref="N37:Q37"/>
    <mergeCell ref="R37:U37"/>
    <mergeCell ref="V37:W37"/>
    <mergeCell ref="X37:Y37"/>
    <mergeCell ref="Z37:AA37"/>
    <mergeCell ref="C36:H36"/>
    <mergeCell ref="J36:M36"/>
    <mergeCell ref="N36:Q36"/>
    <mergeCell ref="R36:U36"/>
    <mergeCell ref="V36:W36"/>
    <mergeCell ref="X36:Y36"/>
    <mergeCell ref="Z34:AA34"/>
    <mergeCell ref="B35:B37"/>
    <mergeCell ref="C35:H35"/>
    <mergeCell ref="I35:I37"/>
    <mergeCell ref="J35:M35"/>
    <mergeCell ref="N35:Q35"/>
    <mergeCell ref="R35:U35"/>
    <mergeCell ref="V35:W35"/>
    <mergeCell ref="X35:Y35"/>
    <mergeCell ref="Z35:AA35"/>
    <mergeCell ref="C34:H34"/>
    <mergeCell ref="J34:M34"/>
    <mergeCell ref="N34:Q34"/>
    <mergeCell ref="R34:U34"/>
    <mergeCell ref="V34:W34"/>
    <mergeCell ref="X34:Y34"/>
    <mergeCell ref="B46:AA46"/>
    <mergeCell ref="B47:AA47"/>
    <mergeCell ref="B48:AA48"/>
    <mergeCell ref="B49:AA49"/>
    <mergeCell ref="H53:Q53"/>
    <mergeCell ref="R53:Y53"/>
    <mergeCell ref="Z53:AA54"/>
    <mergeCell ref="B54:D54"/>
    <mergeCell ref="F54:G54"/>
    <mergeCell ref="H54:I54"/>
    <mergeCell ref="B41:F41"/>
    <mergeCell ref="G41:H41"/>
    <mergeCell ref="I41:M41"/>
    <mergeCell ref="N41:O41"/>
    <mergeCell ref="P41:AA41"/>
    <mergeCell ref="B45:AA45"/>
    <mergeCell ref="B38:AA38"/>
    <mergeCell ref="B40:F40"/>
    <mergeCell ref="G40:H40"/>
    <mergeCell ref="I40:M40"/>
    <mergeCell ref="N40:O40"/>
    <mergeCell ref="P40:T40"/>
    <mergeCell ref="U40:V40"/>
    <mergeCell ref="W40:AA40"/>
    <mergeCell ref="T55:U55"/>
    <mergeCell ref="V55:W55"/>
    <mergeCell ref="X55:Y57"/>
    <mergeCell ref="Z55:AA57"/>
    <mergeCell ref="F56:G56"/>
    <mergeCell ref="H56:I56"/>
    <mergeCell ref="J56:K56"/>
    <mergeCell ref="L56:M56"/>
    <mergeCell ref="R56:S56"/>
    <mergeCell ref="T56:U56"/>
    <mergeCell ref="V54:W54"/>
    <mergeCell ref="X54:Y54"/>
    <mergeCell ref="B55:D57"/>
    <mergeCell ref="F55:G55"/>
    <mergeCell ref="H55:I55"/>
    <mergeCell ref="J55:K55"/>
    <mergeCell ref="L55:M55"/>
    <mergeCell ref="N55:O57"/>
    <mergeCell ref="P55:Q57"/>
    <mergeCell ref="R55:S55"/>
    <mergeCell ref="J54:K54"/>
    <mergeCell ref="L54:M54"/>
    <mergeCell ref="N54:O54"/>
    <mergeCell ref="P54:Q54"/>
    <mergeCell ref="R54:S54"/>
    <mergeCell ref="T54:U54"/>
    <mergeCell ref="B58:D60"/>
    <mergeCell ref="F58:G58"/>
    <mergeCell ref="H58:I58"/>
    <mergeCell ref="J58:K58"/>
    <mergeCell ref="L58:M58"/>
    <mergeCell ref="N58:O60"/>
    <mergeCell ref="F59:G59"/>
    <mergeCell ref="H59:I59"/>
    <mergeCell ref="J59:K59"/>
    <mergeCell ref="L59:M59"/>
    <mergeCell ref="V56:W56"/>
    <mergeCell ref="F57:G57"/>
    <mergeCell ref="H57:I57"/>
    <mergeCell ref="J57:K57"/>
    <mergeCell ref="L57:M57"/>
    <mergeCell ref="R57:S57"/>
    <mergeCell ref="T57:U57"/>
    <mergeCell ref="V57:W57"/>
    <mergeCell ref="L62:M62"/>
    <mergeCell ref="F60:G60"/>
    <mergeCell ref="H60:I60"/>
    <mergeCell ref="J60:K60"/>
    <mergeCell ref="L60:M60"/>
    <mergeCell ref="R60:S60"/>
    <mergeCell ref="T60:U60"/>
    <mergeCell ref="P58:Q60"/>
    <mergeCell ref="R58:S58"/>
    <mergeCell ref="T58:U58"/>
    <mergeCell ref="V58:W58"/>
    <mergeCell ref="X58:Y60"/>
    <mergeCell ref="Z58:AA60"/>
    <mergeCell ref="R59:S59"/>
    <mergeCell ref="T59:U59"/>
    <mergeCell ref="V59:W59"/>
    <mergeCell ref="V60:W60"/>
    <mergeCell ref="F64:W64"/>
    <mergeCell ref="X64:AA64"/>
    <mergeCell ref="B66:AA66"/>
    <mergeCell ref="C67:AA67"/>
    <mergeCell ref="H68:K68"/>
    <mergeCell ref="L68:O68"/>
    <mergeCell ref="P68:Y68"/>
    <mergeCell ref="F63:G63"/>
    <mergeCell ref="H63:I63"/>
    <mergeCell ref="J63:K63"/>
    <mergeCell ref="L63:M63"/>
    <mergeCell ref="R63:S63"/>
    <mergeCell ref="T63:U63"/>
    <mergeCell ref="P61:Q63"/>
    <mergeCell ref="R61:S61"/>
    <mergeCell ref="T61:U61"/>
    <mergeCell ref="V61:W61"/>
    <mergeCell ref="X61:Y63"/>
    <mergeCell ref="Z61:AA63"/>
    <mergeCell ref="R62:S62"/>
    <mergeCell ref="T62:U62"/>
    <mergeCell ref="V62:W62"/>
    <mergeCell ref="V63:W63"/>
    <mergeCell ref="B61:D63"/>
    <mergeCell ref="F61:G61"/>
    <mergeCell ref="H61:I61"/>
    <mergeCell ref="J61:K61"/>
    <mergeCell ref="L61:M61"/>
    <mergeCell ref="N61:O63"/>
    <mergeCell ref="F62:G62"/>
    <mergeCell ref="H62:I62"/>
    <mergeCell ref="J62:K62"/>
    <mergeCell ref="T70:U70"/>
    <mergeCell ref="V70:W70"/>
    <mergeCell ref="X70:Y70"/>
    <mergeCell ref="F71:G71"/>
    <mergeCell ref="H71:I71"/>
    <mergeCell ref="J71:K71"/>
    <mergeCell ref="L71:M71"/>
    <mergeCell ref="N71:O71"/>
    <mergeCell ref="P71:S71"/>
    <mergeCell ref="T71:U71"/>
    <mergeCell ref="T69:U69"/>
    <mergeCell ref="V69:W69"/>
    <mergeCell ref="X69:Y69"/>
    <mergeCell ref="B70:D74"/>
    <mergeCell ref="F70:G70"/>
    <mergeCell ref="H70:I70"/>
    <mergeCell ref="J70:K70"/>
    <mergeCell ref="L70:M70"/>
    <mergeCell ref="N70:O70"/>
    <mergeCell ref="P70:S70"/>
    <mergeCell ref="B69:D69"/>
    <mergeCell ref="F69:G69"/>
    <mergeCell ref="H69:I69"/>
    <mergeCell ref="J69:K69"/>
    <mergeCell ref="L69:M69"/>
    <mergeCell ref="N69:O69"/>
    <mergeCell ref="F74:G74"/>
    <mergeCell ref="H74:I74"/>
    <mergeCell ref="J74:K74"/>
    <mergeCell ref="L74:M74"/>
    <mergeCell ref="N74:O74"/>
    <mergeCell ref="B75:D79"/>
    <mergeCell ref="F75:G75"/>
    <mergeCell ref="H75:I75"/>
    <mergeCell ref="J75:K75"/>
    <mergeCell ref="L75:M75"/>
    <mergeCell ref="X72:Y72"/>
    <mergeCell ref="F73:G73"/>
    <mergeCell ref="H73:I73"/>
    <mergeCell ref="J73:K73"/>
    <mergeCell ref="L73:M73"/>
    <mergeCell ref="N73:O73"/>
    <mergeCell ref="V71:W71"/>
    <mergeCell ref="X71:Y71"/>
    <mergeCell ref="F72:G72"/>
    <mergeCell ref="H72:I72"/>
    <mergeCell ref="J72:K72"/>
    <mergeCell ref="L72:M72"/>
    <mergeCell ref="N72:O72"/>
    <mergeCell ref="P72:S72"/>
    <mergeCell ref="T72:U72"/>
    <mergeCell ref="V72:W72"/>
    <mergeCell ref="P76:S76"/>
    <mergeCell ref="T76:U76"/>
    <mergeCell ref="V76:W76"/>
    <mergeCell ref="X76:Y76"/>
    <mergeCell ref="F77:G77"/>
    <mergeCell ref="H77:I77"/>
    <mergeCell ref="J77:K77"/>
    <mergeCell ref="L77:M77"/>
    <mergeCell ref="N77:O77"/>
    <mergeCell ref="P77:S77"/>
    <mergeCell ref="N75:O75"/>
    <mergeCell ref="P75:S75"/>
    <mergeCell ref="T75:U75"/>
    <mergeCell ref="V75:W75"/>
    <mergeCell ref="X75:Y75"/>
    <mergeCell ref="F76:G76"/>
    <mergeCell ref="H76:I76"/>
    <mergeCell ref="J76:K76"/>
    <mergeCell ref="L76:M76"/>
    <mergeCell ref="N76:O76"/>
    <mergeCell ref="F79:G79"/>
    <mergeCell ref="H79:I79"/>
    <mergeCell ref="J79:K79"/>
    <mergeCell ref="L79:M79"/>
    <mergeCell ref="N79:O79"/>
    <mergeCell ref="B80:D84"/>
    <mergeCell ref="F80:G80"/>
    <mergeCell ref="H80:I80"/>
    <mergeCell ref="J80:K80"/>
    <mergeCell ref="L80:M80"/>
    <mergeCell ref="T77:U77"/>
    <mergeCell ref="V77:W77"/>
    <mergeCell ref="X77:Y77"/>
    <mergeCell ref="F78:G78"/>
    <mergeCell ref="H78:I78"/>
    <mergeCell ref="J78:K78"/>
    <mergeCell ref="L78:M78"/>
    <mergeCell ref="N78:O78"/>
    <mergeCell ref="P81:S81"/>
    <mergeCell ref="T81:U81"/>
    <mergeCell ref="V81:W81"/>
    <mergeCell ref="X81:Y81"/>
    <mergeCell ref="F82:G82"/>
    <mergeCell ref="H82:I82"/>
    <mergeCell ref="J82:K82"/>
    <mergeCell ref="L82:M82"/>
    <mergeCell ref="N82:O82"/>
    <mergeCell ref="P82:S82"/>
    <mergeCell ref="N80:O80"/>
    <mergeCell ref="P80:S80"/>
    <mergeCell ref="T80:U80"/>
    <mergeCell ref="V80:W80"/>
    <mergeCell ref="X80:Y80"/>
    <mergeCell ref="F81:G81"/>
    <mergeCell ref="H81:I81"/>
    <mergeCell ref="J81:K81"/>
    <mergeCell ref="L81:M81"/>
    <mergeCell ref="N81:O81"/>
    <mergeCell ref="F84:G84"/>
    <mergeCell ref="H84:I84"/>
    <mergeCell ref="J84:K84"/>
    <mergeCell ref="L84:M84"/>
    <mergeCell ref="N84:O84"/>
    <mergeCell ref="B90:D90"/>
    <mergeCell ref="F90:H90"/>
    <mergeCell ref="I90:K90"/>
    <mergeCell ref="L90:N90"/>
    <mergeCell ref="O90:Q90"/>
    <mergeCell ref="T82:U82"/>
    <mergeCell ref="V82:W82"/>
    <mergeCell ref="X82:Y82"/>
    <mergeCell ref="F83:G83"/>
    <mergeCell ref="H83:I83"/>
    <mergeCell ref="J83:K83"/>
    <mergeCell ref="L83:M83"/>
    <mergeCell ref="N83:O83"/>
    <mergeCell ref="Z91:AA92"/>
    <mergeCell ref="U92:Y92"/>
    <mergeCell ref="B95:D95"/>
    <mergeCell ref="F95:H95"/>
    <mergeCell ref="I95:K95"/>
    <mergeCell ref="L95:N95"/>
    <mergeCell ref="O95:Q95"/>
    <mergeCell ref="R95:T95"/>
    <mergeCell ref="R90:T90"/>
    <mergeCell ref="U90:Y90"/>
    <mergeCell ref="Z90:AA90"/>
    <mergeCell ref="B91:D92"/>
    <mergeCell ref="F91:H92"/>
    <mergeCell ref="I91:K92"/>
    <mergeCell ref="L91:N92"/>
    <mergeCell ref="O91:Q92"/>
    <mergeCell ref="R91:T92"/>
    <mergeCell ref="U91:Y91"/>
    <mergeCell ref="U98:X98"/>
    <mergeCell ref="Y98:AA98"/>
    <mergeCell ref="B99:D99"/>
    <mergeCell ref="F99:H99"/>
    <mergeCell ref="I99:K99"/>
    <mergeCell ref="L99:N99"/>
    <mergeCell ref="O99:Q99"/>
    <mergeCell ref="R99:T99"/>
    <mergeCell ref="U99:X99"/>
    <mergeCell ref="Y99:AA99"/>
    <mergeCell ref="B98:D98"/>
    <mergeCell ref="F98:H98"/>
    <mergeCell ref="I98:K98"/>
    <mergeCell ref="L98:N98"/>
    <mergeCell ref="O98:Q98"/>
    <mergeCell ref="R98:T98"/>
    <mergeCell ref="U96:AA96"/>
    <mergeCell ref="B97:D97"/>
    <mergeCell ref="F97:H97"/>
    <mergeCell ref="I97:K97"/>
    <mergeCell ref="L97:N97"/>
    <mergeCell ref="O97:Q97"/>
    <mergeCell ref="R97:T97"/>
    <mergeCell ref="U97:X97"/>
    <mergeCell ref="Y97:AA97"/>
    <mergeCell ref="B96:D96"/>
    <mergeCell ref="F96:H96"/>
    <mergeCell ref="I96:K96"/>
    <mergeCell ref="L96:N96"/>
    <mergeCell ref="O96:Q96"/>
    <mergeCell ref="R96:T96"/>
    <mergeCell ref="U106:Y106"/>
    <mergeCell ref="B109:D109"/>
    <mergeCell ref="F109:H109"/>
    <mergeCell ref="I109:K109"/>
    <mergeCell ref="L109:N109"/>
    <mergeCell ref="O109:Q109"/>
    <mergeCell ref="R109:T109"/>
    <mergeCell ref="U104:Y104"/>
    <mergeCell ref="Z104:AA104"/>
    <mergeCell ref="B105:D106"/>
    <mergeCell ref="F105:H106"/>
    <mergeCell ref="I105:K106"/>
    <mergeCell ref="L105:N106"/>
    <mergeCell ref="O105:Q106"/>
    <mergeCell ref="R105:T106"/>
    <mergeCell ref="U105:Y105"/>
    <mergeCell ref="Z105:AA106"/>
    <mergeCell ref="B104:D104"/>
    <mergeCell ref="F104:H104"/>
    <mergeCell ref="I104:K104"/>
    <mergeCell ref="L104:N104"/>
    <mergeCell ref="O104:Q104"/>
    <mergeCell ref="R104:T104"/>
    <mergeCell ref="U110:AA110"/>
    <mergeCell ref="F111:H111"/>
    <mergeCell ref="I111:K111"/>
    <mergeCell ref="L111:N111"/>
    <mergeCell ref="O111:Q111"/>
    <mergeCell ref="R111:T111"/>
    <mergeCell ref="U111:X111"/>
    <mergeCell ref="Y111:AA111"/>
    <mergeCell ref="B110:D113"/>
    <mergeCell ref="F110:H110"/>
    <mergeCell ref="I110:K110"/>
    <mergeCell ref="L110:N110"/>
    <mergeCell ref="O110:Q110"/>
    <mergeCell ref="R110:T110"/>
    <mergeCell ref="F112:H112"/>
    <mergeCell ref="I112:K112"/>
    <mergeCell ref="L112:N112"/>
    <mergeCell ref="O112:Q112"/>
    <mergeCell ref="B125:D125"/>
    <mergeCell ref="F125:H125"/>
    <mergeCell ref="I125:L125"/>
    <mergeCell ref="M125:P125"/>
    <mergeCell ref="Q125:T125"/>
    <mergeCell ref="U125:X125"/>
    <mergeCell ref="B116:AA116"/>
    <mergeCell ref="B117:AA117"/>
    <mergeCell ref="B118:AA118"/>
    <mergeCell ref="B119:AA119"/>
    <mergeCell ref="B120:AA120"/>
    <mergeCell ref="C124:AA124"/>
    <mergeCell ref="R112:T112"/>
    <mergeCell ref="U112:X112"/>
    <mergeCell ref="Y112:AA112"/>
    <mergeCell ref="F113:H113"/>
    <mergeCell ref="I113:K113"/>
    <mergeCell ref="L113:N113"/>
    <mergeCell ref="O113:Q113"/>
    <mergeCell ref="R113:T113"/>
    <mergeCell ref="U113:X113"/>
    <mergeCell ref="Y113:AA113"/>
    <mergeCell ref="F129:T129"/>
    <mergeCell ref="U129:X129"/>
    <mergeCell ref="C132:AA132"/>
    <mergeCell ref="B133:D133"/>
    <mergeCell ref="F133:H133"/>
    <mergeCell ref="I133:L133"/>
    <mergeCell ref="M133:P133"/>
    <mergeCell ref="Q133:T133"/>
    <mergeCell ref="U127:X127"/>
    <mergeCell ref="F128:H128"/>
    <mergeCell ref="I128:L128"/>
    <mergeCell ref="M128:P128"/>
    <mergeCell ref="Q128:T128"/>
    <mergeCell ref="U128:X128"/>
    <mergeCell ref="B126:D128"/>
    <mergeCell ref="F126:H126"/>
    <mergeCell ref="I126:L126"/>
    <mergeCell ref="M126:P126"/>
    <mergeCell ref="Q126:T126"/>
    <mergeCell ref="U126:X126"/>
    <mergeCell ref="F127:H127"/>
    <mergeCell ref="I127:L127"/>
    <mergeCell ref="M127:P127"/>
    <mergeCell ref="Q127:T127"/>
    <mergeCell ref="W137:Y137"/>
    <mergeCell ref="Z137:AA137"/>
    <mergeCell ref="F138:H138"/>
    <mergeCell ref="I138:L138"/>
    <mergeCell ref="M138:P138"/>
    <mergeCell ref="Q138:T138"/>
    <mergeCell ref="U138:V138"/>
    <mergeCell ref="W138:Y138"/>
    <mergeCell ref="Z138:AA138"/>
    <mergeCell ref="I136:L136"/>
    <mergeCell ref="M136:P136"/>
    <mergeCell ref="Q136:T136"/>
    <mergeCell ref="U136:AA136"/>
    <mergeCell ref="B137:D139"/>
    <mergeCell ref="F137:H137"/>
    <mergeCell ref="I137:L137"/>
    <mergeCell ref="M137:P137"/>
    <mergeCell ref="Q137:T137"/>
    <mergeCell ref="U137:V137"/>
    <mergeCell ref="B134:D136"/>
    <mergeCell ref="F134:H134"/>
    <mergeCell ref="I134:L134"/>
    <mergeCell ref="M134:P134"/>
    <mergeCell ref="Q134:T134"/>
    <mergeCell ref="F135:H135"/>
    <mergeCell ref="I135:L135"/>
    <mergeCell ref="M135:P135"/>
    <mergeCell ref="Q135:T135"/>
    <mergeCell ref="F136:H136"/>
    <mergeCell ref="I141:L141"/>
    <mergeCell ref="M141:P141"/>
    <mergeCell ref="Q141:T141"/>
    <mergeCell ref="U141:V141"/>
    <mergeCell ref="W141:Y141"/>
    <mergeCell ref="Z141:AA141"/>
    <mergeCell ref="Z139:AA139"/>
    <mergeCell ref="B140:D142"/>
    <mergeCell ref="F140:H140"/>
    <mergeCell ref="I140:L140"/>
    <mergeCell ref="M140:P140"/>
    <mergeCell ref="Q140:T140"/>
    <mergeCell ref="U140:V140"/>
    <mergeCell ref="W140:Y140"/>
    <mergeCell ref="Z140:AA140"/>
    <mergeCell ref="F141:H141"/>
    <mergeCell ref="F139:H139"/>
    <mergeCell ref="I139:L139"/>
    <mergeCell ref="M139:P139"/>
    <mergeCell ref="Q139:T139"/>
    <mergeCell ref="U139:V139"/>
    <mergeCell ref="W139:Y139"/>
    <mergeCell ref="I144:L144"/>
    <mergeCell ref="M144:P144"/>
    <mergeCell ref="Q144:T144"/>
    <mergeCell ref="U144:V144"/>
    <mergeCell ref="W144:Y144"/>
    <mergeCell ref="Z144:AA144"/>
    <mergeCell ref="Z142:AA142"/>
    <mergeCell ref="B143:D145"/>
    <mergeCell ref="F143:H143"/>
    <mergeCell ref="I143:L143"/>
    <mergeCell ref="M143:P143"/>
    <mergeCell ref="Q143:T143"/>
    <mergeCell ref="U143:V143"/>
    <mergeCell ref="W143:Y143"/>
    <mergeCell ref="Z143:AA143"/>
    <mergeCell ref="F144:H144"/>
    <mergeCell ref="F142:H142"/>
    <mergeCell ref="I142:L142"/>
    <mergeCell ref="M142:P142"/>
    <mergeCell ref="Q142:T142"/>
    <mergeCell ref="U142:V142"/>
    <mergeCell ref="W142:Y142"/>
    <mergeCell ref="R152:T152"/>
    <mergeCell ref="U152:V152"/>
    <mergeCell ref="W152:Y152"/>
    <mergeCell ref="Z152:AA152"/>
    <mergeCell ref="B153:D156"/>
    <mergeCell ref="F153:H153"/>
    <mergeCell ref="I153:J153"/>
    <mergeCell ref="K153:M153"/>
    <mergeCell ref="N153:O156"/>
    <mergeCell ref="P153:Q153"/>
    <mergeCell ref="Z145:AA145"/>
    <mergeCell ref="C150:AA150"/>
    <mergeCell ref="I151:O151"/>
    <mergeCell ref="P151:V151"/>
    <mergeCell ref="B152:D152"/>
    <mergeCell ref="F152:H152"/>
    <mergeCell ref="I152:J152"/>
    <mergeCell ref="K152:M152"/>
    <mergeCell ref="N152:O152"/>
    <mergeCell ref="P152:Q152"/>
    <mergeCell ref="F145:H145"/>
    <mergeCell ref="I145:L145"/>
    <mergeCell ref="M145:P145"/>
    <mergeCell ref="Q145:T145"/>
    <mergeCell ref="U145:V145"/>
    <mergeCell ref="W145:Y145"/>
    <mergeCell ref="F155:H155"/>
    <mergeCell ref="I155:J155"/>
    <mergeCell ref="K155:M155"/>
    <mergeCell ref="P155:Q155"/>
    <mergeCell ref="R155:T155"/>
    <mergeCell ref="F156:H156"/>
    <mergeCell ref="I156:J156"/>
    <mergeCell ref="K156:M156"/>
    <mergeCell ref="P156:Q156"/>
    <mergeCell ref="R156:T156"/>
    <mergeCell ref="R153:T153"/>
    <mergeCell ref="U153:V156"/>
    <mergeCell ref="W153:Y153"/>
    <mergeCell ref="Z153:AA156"/>
    <mergeCell ref="F154:H154"/>
    <mergeCell ref="I154:J154"/>
    <mergeCell ref="K154:M154"/>
    <mergeCell ref="P154:Q154"/>
    <mergeCell ref="R154:T154"/>
    <mergeCell ref="W154:Y155"/>
    <mergeCell ref="Z157:AA160"/>
    <mergeCell ref="F158:H158"/>
    <mergeCell ref="I158:J158"/>
    <mergeCell ref="K158:M158"/>
    <mergeCell ref="P158:Q158"/>
    <mergeCell ref="R158:T158"/>
    <mergeCell ref="W158:Y159"/>
    <mergeCell ref="F159:H159"/>
    <mergeCell ref="I159:J159"/>
    <mergeCell ref="K159:M159"/>
    <mergeCell ref="W156:Y156"/>
    <mergeCell ref="B157:D160"/>
    <mergeCell ref="F157:H157"/>
    <mergeCell ref="I157:J157"/>
    <mergeCell ref="K157:M157"/>
    <mergeCell ref="N157:O160"/>
    <mergeCell ref="P157:Q157"/>
    <mergeCell ref="R157:T157"/>
    <mergeCell ref="U157:V160"/>
    <mergeCell ref="W157:Y157"/>
    <mergeCell ref="W160:Y160"/>
    <mergeCell ref="B161:D164"/>
    <mergeCell ref="F161:H161"/>
    <mergeCell ref="I161:J161"/>
    <mergeCell ref="K161:M161"/>
    <mergeCell ref="N161:O164"/>
    <mergeCell ref="P161:Q161"/>
    <mergeCell ref="R161:T161"/>
    <mergeCell ref="U161:V164"/>
    <mergeCell ref="W161:Y161"/>
    <mergeCell ref="P159:Q159"/>
    <mergeCell ref="R159:T159"/>
    <mergeCell ref="F160:H160"/>
    <mergeCell ref="I160:J160"/>
    <mergeCell ref="K160:M160"/>
    <mergeCell ref="P160:Q160"/>
    <mergeCell ref="R160:T160"/>
    <mergeCell ref="W164:Y164"/>
    <mergeCell ref="F165:V165"/>
    <mergeCell ref="W165:AA165"/>
    <mergeCell ref="C168:AA168"/>
    <mergeCell ref="B169:D169"/>
    <mergeCell ref="F169:X169"/>
    <mergeCell ref="Y169:AA169"/>
    <mergeCell ref="P163:Q163"/>
    <mergeCell ref="R163:T163"/>
    <mergeCell ref="F164:H164"/>
    <mergeCell ref="I164:J164"/>
    <mergeCell ref="K164:M164"/>
    <mergeCell ref="P164:Q164"/>
    <mergeCell ref="R164:T164"/>
    <mergeCell ref="Z161:AA164"/>
    <mergeCell ref="F162:H162"/>
    <mergeCell ref="I162:J162"/>
    <mergeCell ref="K162:M162"/>
    <mergeCell ref="P162:Q162"/>
    <mergeCell ref="R162:T162"/>
    <mergeCell ref="W162:Y163"/>
    <mergeCell ref="F163:H163"/>
    <mergeCell ref="I163:J163"/>
    <mergeCell ref="K163:M163"/>
    <mergeCell ref="Y174:AA174"/>
    <mergeCell ref="F175:H177"/>
    <mergeCell ref="I175:X175"/>
    <mergeCell ref="Y175:AA175"/>
    <mergeCell ref="I176:X176"/>
    <mergeCell ref="Y176:AA176"/>
    <mergeCell ref="I177:X177"/>
    <mergeCell ref="Y177:AA177"/>
    <mergeCell ref="B170:D177"/>
    <mergeCell ref="F170:X170"/>
    <mergeCell ref="Y170:AA170"/>
    <mergeCell ref="F171:X171"/>
    <mergeCell ref="Y171:AA171"/>
    <mergeCell ref="F172:X172"/>
    <mergeCell ref="Y172:AA172"/>
    <mergeCell ref="F173:X173"/>
    <mergeCell ref="Y173:AA173"/>
    <mergeCell ref="F174:X174"/>
    <mergeCell ref="F190:X190"/>
    <mergeCell ref="Y182:AA182"/>
    <mergeCell ref="F183:H185"/>
    <mergeCell ref="I183:X183"/>
    <mergeCell ref="Y183:AA183"/>
    <mergeCell ref="I184:X184"/>
    <mergeCell ref="Y184:AA184"/>
    <mergeCell ref="I185:X185"/>
    <mergeCell ref="Y185:AA185"/>
    <mergeCell ref="B178:D185"/>
    <mergeCell ref="F178:X178"/>
    <mergeCell ref="Y178:AA178"/>
    <mergeCell ref="F179:X179"/>
    <mergeCell ref="Y179:AA179"/>
    <mergeCell ref="F180:X180"/>
    <mergeCell ref="Y180:AA180"/>
    <mergeCell ref="F181:X181"/>
    <mergeCell ref="Y181:AA181"/>
    <mergeCell ref="F182:X182"/>
    <mergeCell ref="T199:AA200"/>
    <mergeCell ref="L200:Q200"/>
    <mergeCell ref="B203:F203"/>
    <mergeCell ref="G203:K203"/>
    <mergeCell ref="B204:F204"/>
    <mergeCell ref="G204:K204"/>
    <mergeCell ref="L204:S204"/>
    <mergeCell ref="B198:F198"/>
    <mergeCell ref="G198:K198"/>
    <mergeCell ref="L198:Q198"/>
    <mergeCell ref="R198:S198"/>
    <mergeCell ref="B199:F200"/>
    <mergeCell ref="G199:K200"/>
    <mergeCell ref="L199:Q199"/>
    <mergeCell ref="R199:S200"/>
    <mergeCell ref="Y190:AA190"/>
    <mergeCell ref="F191:H193"/>
    <mergeCell ref="I191:X191"/>
    <mergeCell ref="Y191:AA191"/>
    <mergeCell ref="I192:X192"/>
    <mergeCell ref="Y192:AA192"/>
    <mergeCell ref="I193:X193"/>
    <mergeCell ref="Y193:AA193"/>
    <mergeCell ref="B186:D193"/>
    <mergeCell ref="F186:X186"/>
    <mergeCell ref="Y186:AA186"/>
    <mergeCell ref="F187:X187"/>
    <mergeCell ref="Y187:AA187"/>
    <mergeCell ref="F188:X188"/>
    <mergeCell ref="Y188:AA188"/>
    <mergeCell ref="F189:X189"/>
    <mergeCell ref="Y189:AA189"/>
    <mergeCell ref="B212:AA212"/>
    <mergeCell ref="B213:AA213"/>
    <mergeCell ref="B214:AA214"/>
    <mergeCell ref="B218:D218"/>
    <mergeCell ref="F218:H218"/>
    <mergeCell ref="I218:K218"/>
    <mergeCell ref="L218:M218"/>
    <mergeCell ref="N218:O218"/>
    <mergeCell ref="P218:R218"/>
    <mergeCell ref="S218:U218"/>
    <mergeCell ref="B207:F207"/>
    <mergeCell ref="G207:K207"/>
    <mergeCell ref="L207:O207"/>
    <mergeCell ref="P207:S207"/>
    <mergeCell ref="B210:AA210"/>
    <mergeCell ref="B211:AA211"/>
    <mergeCell ref="B205:F205"/>
    <mergeCell ref="G205:K205"/>
    <mergeCell ref="L205:O205"/>
    <mergeCell ref="P205:S205"/>
    <mergeCell ref="B206:F206"/>
    <mergeCell ref="G206:K206"/>
    <mergeCell ref="L206:O206"/>
    <mergeCell ref="P206:S206"/>
    <mergeCell ref="V219:W219"/>
    <mergeCell ref="X219:Y219"/>
    <mergeCell ref="Z219:AA224"/>
    <mergeCell ref="F220:H220"/>
    <mergeCell ref="I220:K220"/>
    <mergeCell ref="L220:M220"/>
    <mergeCell ref="N220:O220"/>
    <mergeCell ref="P220:R220"/>
    <mergeCell ref="S220:U220"/>
    <mergeCell ref="V220:W220"/>
    <mergeCell ref="V218:W218"/>
    <mergeCell ref="X218:Y218"/>
    <mergeCell ref="Z218:AA218"/>
    <mergeCell ref="B219:D224"/>
    <mergeCell ref="F219:H219"/>
    <mergeCell ref="I219:K219"/>
    <mergeCell ref="L219:M219"/>
    <mergeCell ref="N219:O219"/>
    <mergeCell ref="P219:R219"/>
    <mergeCell ref="S219:U219"/>
    <mergeCell ref="V222:W222"/>
    <mergeCell ref="X222:Y222"/>
    <mergeCell ref="F223:H223"/>
    <mergeCell ref="I223:K223"/>
    <mergeCell ref="L223:M223"/>
    <mergeCell ref="N223:O223"/>
    <mergeCell ref="P223:R223"/>
    <mergeCell ref="S223:U223"/>
    <mergeCell ref="V223:W223"/>
    <mergeCell ref="X223:Y223"/>
    <mergeCell ref="F222:H222"/>
    <mergeCell ref="I222:K222"/>
    <mergeCell ref="L222:M222"/>
    <mergeCell ref="N222:O222"/>
    <mergeCell ref="P222:R222"/>
    <mergeCell ref="S222:U222"/>
    <mergeCell ref="X220:Y220"/>
    <mergeCell ref="F221:H221"/>
    <mergeCell ref="I221:K221"/>
    <mergeCell ref="L221:M221"/>
    <mergeCell ref="N221:O221"/>
    <mergeCell ref="P221:R221"/>
    <mergeCell ref="S221:U221"/>
    <mergeCell ref="V221:W221"/>
    <mergeCell ref="X221:Y221"/>
    <mergeCell ref="X225:Y225"/>
    <mergeCell ref="Z225:AA230"/>
    <mergeCell ref="F226:H226"/>
    <mergeCell ref="I226:K226"/>
    <mergeCell ref="L226:M226"/>
    <mergeCell ref="N226:O226"/>
    <mergeCell ref="P226:R226"/>
    <mergeCell ref="S226:U226"/>
    <mergeCell ref="V226:W226"/>
    <mergeCell ref="X226:Y226"/>
    <mergeCell ref="V224:W224"/>
    <mergeCell ref="X224:Y224"/>
    <mergeCell ref="B225:D230"/>
    <mergeCell ref="F225:H225"/>
    <mergeCell ref="I225:K225"/>
    <mergeCell ref="L225:M225"/>
    <mergeCell ref="N225:O225"/>
    <mergeCell ref="P225:R225"/>
    <mergeCell ref="S225:U225"/>
    <mergeCell ref="V225:W225"/>
    <mergeCell ref="F224:H224"/>
    <mergeCell ref="I224:K224"/>
    <mergeCell ref="L224:M224"/>
    <mergeCell ref="N224:O224"/>
    <mergeCell ref="P224:R224"/>
    <mergeCell ref="S224:U224"/>
    <mergeCell ref="V229:W229"/>
    <mergeCell ref="X229:Y229"/>
    <mergeCell ref="F230:H230"/>
    <mergeCell ref="I230:K230"/>
    <mergeCell ref="L230:M230"/>
    <mergeCell ref="N230:O230"/>
    <mergeCell ref="P230:R230"/>
    <mergeCell ref="S230:U230"/>
    <mergeCell ref="V230:W230"/>
    <mergeCell ref="X230:Y230"/>
    <mergeCell ref="F229:H229"/>
    <mergeCell ref="I229:K229"/>
    <mergeCell ref="L229:M229"/>
    <mergeCell ref="N229:O229"/>
    <mergeCell ref="P229:R229"/>
    <mergeCell ref="S229:U229"/>
    <mergeCell ref="V227:W227"/>
    <mergeCell ref="X227:Y227"/>
    <mergeCell ref="F228:H228"/>
    <mergeCell ref="I228:K228"/>
    <mergeCell ref="L228:M228"/>
    <mergeCell ref="N228:O228"/>
    <mergeCell ref="P228:R228"/>
    <mergeCell ref="S228:U228"/>
    <mergeCell ref="V228:W228"/>
    <mergeCell ref="X228:Y228"/>
    <mergeCell ref="F227:H227"/>
    <mergeCell ref="I227:K227"/>
    <mergeCell ref="L227:M227"/>
    <mergeCell ref="N227:O227"/>
    <mergeCell ref="P227:R227"/>
    <mergeCell ref="S227:U227"/>
    <mergeCell ref="S231:U231"/>
    <mergeCell ref="V231:W231"/>
    <mergeCell ref="X231:Y231"/>
    <mergeCell ref="Z231:AA236"/>
    <mergeCell ref="F232:H232"/>
    <mergeCell ref="I232:K232"/>
    <mergeCell ref="L232:M232"/>
    <mergeCell ref="N232:O232"/>
    <mergeCell ref="P232:R232"/>
    <mergeCell ref="S232:U232"/>
    <mergeCell ref="B231:D236"/>
    <mergeCell ref="F231:H231"/>
    <mergeCell ref="I231:K231"/>
    <mergeCell ref="L231:M231"/>
    <mergeCell ref="N231:O231"/>
    <mergeCell ref="P231:R231"/>
    <mergeCell ref="F234:H234"/>
    <mergeCell ref="I234:K234"/>
    <mergeCell ref="L234:M234"/>
    <mergeCell ref="N234:O234"/>
    <mergeCell ref="P234:R234"/>
    <mergeCell ref="S234:U234"/>
    <mergeCell ref="V234:W234"/>
    <mergeCell ref="X234:Y234"/>
    <mergeCell ref="F235:H235"/>
    <mergeCell ref="I235:K235"/>
    <mergeCell ref="L235:M235"/>
    <mergeCell ref="N235:O235"/>
    <mergeCell ref="P235:R235"/>
    <mergeCell ref="S235:U235"/>
    <mergeCell ref="V232:W232"/>
    <mergeCell ref="X232:Y232"/>
    <mergeCell ref="F233:H233"/>
    <mergeCell ref="I233:K233"/>
    <mergeCell ref="L233:M233"/>
    <mergeCell ref="N233:O233"/>
    <mergeCell ref="P233:R233"/>
    <mergeCell ref="S233:U233"/>
    <mergeCell ref="V233:W233"/>
    <mergeCell ref="X233:Y233"/>
    <mergeCell ref="F237:W237"/>
    <mergeCell ref="X237:AA237"/>
    <mergeCell ref="B239:AA239"/>
    <mergeCell ref="B245:D245"/>
    <mergeCell ref="F245:H245"/>
    <mergeCell ref="I245:K245"/>
    <mergeCell ref="L245:M245"/>
    <mergeCell ref="N245:O245"/>
    <mergeCell ref="P245:R245"/>
    <mergeCell ref="S245:U245"/>
    <mergeCell ref="V235:W235"/>
    <mergeCell ref="X235:Y235"/>
    <mergeCell ref="F236:H236"/>
    <mergeCell ref="I236:K236"/>
    <mergeCell ref="L236:M236"/>
    <mergeCell ref="N236:O236"/>
    <mergeCell ref="P236:R236"/>
    <mergeCell ref="S236:U236"/>
    <mergeCell ref="V236:W236"/>
    <mergeCell ref="X236:Y236"/>
    <mergeCell ref="V246:W246"/>
    <mergeCell ref="X246:Y246"/>
    <mergeCell ref="Z246:AA251"/>
    <mergeCell ref="F247:H247"/>
    <mergeCell ref="I247:K247"/>
    <mergeCell ref="L247:M247"/>
    <mergeCell ref="N247:O247"/>
    <mergeCell ref="P247:R247"/>
    <mergeCell ref="S247:U247"/>
    <mergeCell ref="V247:W247"/>
    <mergeCell ref="V245:W245"/>
    <mergeCell ref="X245:Y245"/>
    <mergeCell ref="Z245:AA245"/>
    <mergeCell ref="B246:D251"/>
    <mergeCell ref="F246:H246"/>
    <mergeCell ref="I246:K246"/>
    <mergeCell ref="L246:M246"/>
    <mergeCell ref="N246:O246"/>
    <mergeCell ref="P246:R246"/>
    <mergeCell ref="S246:U246"/>
    <mergeCell ref="V249:W249"/>
    <mergeCell ref="X249:Y249"/>
    <mergeCell ref="F250:H250"/>
    <mergeCell ref="I250:K250"/>
    <mergeCell ref="L250:M250"/>
    <mergeCell ref="N250:O250"/>
    <mergeCell ref="P250:R250"/>
    <mergeCell ref="S250:U250"/>
    <mergeCell ref="V250:W250"/>
    <mergeCell ref="X250:Y250"/>
    <mergeCell ref="F249:H249"/>
    <mergeCell ref="I249:K249"/>
    <mergeCell ref="L249:M249"/>
    <mergeCell ref="N249:O249"/>
    <mergeCell ref="P249:R249"/>
    <mergeCell ref="S249:U249"/>
    <mergeCell ref="X247:Y247"/>
    <mergeCell ref="F248:H248"/>
    <mergeCell ref="I248:K248"/>
    <mergeCell ref="L248:M248"/>
    <mergeCell ref="N248:O248"/>
    <mergeCell ref="P248:R248"/>
    <mergeCell ref="S248:U248"/>
    <mergeCell ref="V248:W248"/>
    <mergeCell ref="X248:Y248"/>
    <mergeCell ref="Z252:AA257"/>
    <mergeCell ref="F253:H253"/>
    <mergeCell ref="I253:K253"/>
    <mergeCell ref="L253:M253"/>
    <mergeCell ref="N253:O253"/>
    <mergeCell ref="P253:R253"/>
    <mergeCell ref="S253:U253"/>
    <mergeCell ref="V253:W253"/>
    <mergeCell ref="X253:Y253"/>
    <mergeCell ref="V251:W251"/>
    <mergeCell ref="X251:Y251"/>
    <mergeCell ref="B252:D257"/>
    <mergeCell ref="F252:H252"/>
    <mergeCell ref="I252:K252"/>
    <mergeCell ref="L252:M252"/>
    <mergeCell ref="N252:O252"/>
    <mergeCell ref="P252:R252"/>
    <mergeCell ref="S252:U252"/>
    <mergeCell ref="V252:W252"/>
    <mergeCell ref="F251:H251"/>
    <mergeCell ref="I251:K251"/>
    <mergeCell ref="L251:M251"/>
    <mergeCell ref="N251:O251"/>
    <mergeCell ref="P251:R251"/>
    <mergeCell ref="S251:U251"/>
    <mergeCell ref="V254:W254"/>
    <mergeCell ref="X254:Y254"/>
    <mergeCell ref="F255:H255"/>
    <mergeCell ref="I255:K255"/>
    <mergeCell ref="L255:M255"/>
    <mergeCell ref="N255:O255"/>
    <mergeCell ref="P255:R255"/>
    <mergeCell ref="S255:U255"/>
    <mergeCell ref="V255:W255"/>
    <mergeCell ref="X255:Y255"/>
    <mergeCell ref="F254:H254"/>
    <mergeCell ref="I254:K254"/>
    <mergeCell ref="L254:M254"/>
    <mergeCell ref="N254:O254"/>
    <mergeCell ref="P254:R254"/>
    <mergeCell ref="S254:U254"/>
    <mergeCell ref="X252:Y252"/>
    <mergeCell ref="B258:D263"/>
    <mergeCell ref="F258:H258"/>
    <mergeCell ref="I258:K258"/>
    <mergeCell ref="L258:M258"/>
    <mergeCell ref="N258:O258"/>
    <mergeCell ref="P258:R258"/>
    <mergeCell ref="F261:H261"/>
    <mergeCell ref="I261:K261"/>
    <mergeCell ref="L261:M261"/>
    <mergeCell ref="N261:O261"/>
    <mergeCell ref="V256:W256"/>
    <mergeCell ref="X256:Y256"/>
    <mergeCell ref="F257:H257"/>
    <mergeCell ref="I257:K257"/>
    <mergeCell ref="L257:M257"/>
    <mergeCell ref="N257:O257"/>
    <mergeCell ref="P257:R257"/>
    <mergeCell ref="S257:U257"/>
    <mergeCell ref="V257:W257"/>
    <mergeCell ref="X257:Y257"/>
    <mergeCell ref="F256:H256"/>
    <mergeCell ref="I256:K256"/>
    <mergeCell ref="L256:M256"/>
    <mergeCell ref="N256:O256"/>
    <mergeCell ref="P256:R256"/>
    <mergeCell ref="S256:U256"/>
    <mergeCell ref="V259:W259"/>
    <mergeCell ref="X259:Y259"/>
    <mergeCell ref="F260:H260"/>
    <mergeCell ref="I260:K260"/>
    <mergeCell ref="L260:M260"/>
    <mergeCell ref="N260:O260"/>
    <mergeCell ref="P260:R260"/>
    <mergeCell ref="S260:U260"/>
    <mergeCell ref="V260:W260"/>
    <mergeCell ref="X260:Y260"/>
    <mergeCell ref="S258:U258"/>
    <mergeCell ref="V258:W258"/>
    <mergeCell ref="X258:Y258"/>
    <mergeCell ref="Z258:AA263"/>
    <mergeCell ref="F259:H259"/>
    <mergeCell ref="I259:K259"/>
    <mergeCell ref="L259:M259"/>
    <mergeCell ref="N259:O259"/>
    <mergeCell ref="P259:R259"/>
    <mergeCell ref="S259:U259"/>
    <mergeCell ref="V262:W262"/>
    <mergeCell ref="X262:Y262"/>
    <mergeCell ref="F263:H263"/>
    <mergeCell ref="I263:K263"/>
    <mergeCell ref="L263:M263"/>
    <mergeCell ref="N263:O263"/>
    <mergeCell ref="P263:R263"/>
    <mergeCell ref="S263:U263"/>
    <mergeCell ref="V263:W263"/>
    <mergeCell ref="X263:Y263"/>
    <mergeCell ref="P261:R261"/>
    <mergeCell ref="S261:U261"/>
    <mergeCell ref="V261:W261"/>
    <mergeCell ref="X261:Y261"/>
    <mergeCell ref="F262:H262"/>
    <mergeCell ref="I262:K262"/>
    <mergeCell ref="L262:M262"/>
    <mergeCell ref="N262:O262"/>
    <mergeCell ref="P262:R262"/>
    <mergeCell ref="S262:U262"/>
    <mergeCell ref="B270:D272"/>
    <mergeCell ref="F270:H270"/>
    <mergeCell ref="I270:L270"/>
    <mergeCell ref="M270:P270"/>
    <mergeCell ref="F271:H271"/>
    <mergeCell ref="I271:L271"/>
    <mergeCell ref="M271:P271"/>
    <mergeCell ref="F272:H272"/>
    <mergeCell ref="I272:L272"/>
    <mergeCell ref="M272:P272"/>
    <mergeCell ref="F264:W264"/>
    <mergeCell ref="X264:AA264"/>
    <mergeCell ref="C268:AA268"/>
    <mergeCell ref="B269:D269"/>
    <mergeCell ref="F269:H269"/>
    <mergeCell ref="I269:L269"/>
    <mergeCell ref="M269:P269"/>
    <mergeCell ref="I277:L277"/>
    <mergeCell ref="M277:P277"/>
    <mergeCell ref="Q277:R277"/>
    <mergeCell ref="S277:U277"/>
    <mergeCell ref="V277:X277"/>
    <mergeCell ref="Y277:AA277"/>
    <mergeCell ref="Q275:AA275"/>
    <mergeCell ref="B276:D278"/>
    <mergeCell ref="F276:H276"/>
    <mergeCell ref="I276:L276"/>
    <mergeCell ref="M276:P276"/>
    <mergeCell ref="Q276:R276"/>
    <mergeCell ref="S276:U276"/>
    <mergeCell ref="V276:X276"/>
    <mergeCell ref="Y276:AA276"/>
    <mergeCell ref="F277:H277"/>
    <mergeCell ref="B273:D275"/>
    <mergeCell ref="F273:H273"/>
    <mergeCell ref="I273:L273"/>
    <mergeCell ref="M273:P273"/>
    <mergeCell ref="F274:H274"/>
    <mergeCell ref="I274:L274"/>
    <mergeCell ref="M274:P274"/>
    <mergeCell ref="F275:H275"/>
    <mergeCell ref="I275:L275"/>
    <mergeCell ref="M275:P275"/>
    <mergeCell ref="I280:L280"/>
    <mergeCell ref="M280:P280"/>
    <mergeCell ref="Q280:R280"/>
    <mergeCell ref="S280:U280"/>
    <mergeCell ref="V280:X280"/>
    <mergeCell ref="Y280:AA280"/>
    <mergeCell ref="Y278:AA278"/>
    <mergeCell ref="B279:D281"/>
    <mergeCell ref="F279:H279"/>
    <mergeCell ref="I279:L279"/>
    <mergeCell ref="M279:P279"/>
    <mergeCell ref="Q279:R279"/>
    <mergeCell ref="S279:U279"/>
    <mergeCell ref="V279:X279"/>
    <mergeCell ref="Y279:AA279"/>
    <mergeCell ref="F280:H280"/>
    <mergeCell ref="F278:H278"/>
    <mergeCell ref="I278:L278"/>
    <mergeCell ref="M278:P278"/>
    <mergeCell ref="Q278:R278"/>
    <mergeCell ref="S278:U278"/>
    <mergeCell ref="V278:X278"/>
    <mergeCell ref="I283:L283"/>
    <mergeCell ref="M283:P283"/>
    <mergeCell ref="Q283:R283"/>
    <mergeCell ref="S283:U283"/>
    <mergeCell ref="V283:X283"/>
    <mergeCell ref="Y283:AA283"/>
    <mergeCell ref="Y281:AA281"/>
    <mergeCell ref="B282:D284"/>
    <mergeCell ref="F282:H282"/>
    <mergeCell ref="I282:L282"/>
    <mergeCell ref="M282:P282"/>
    <mergeCell ref="Q282:R282"/>
    <mergeCell ref="S282:U282"/>
    <mergeCell ref="V282:X282"/>
    <mergeCell ref="Y282:AA282"/>
    <mergeCell ref="F283:H283"/>
    <mergeCell ref="F281:H281"/>
    <mergeCell ref="I281:L281"/>
    <mergeCell ref="M281:P281"/>
    <mergeCell ref="Q281:R281"/>
    <mergeCell ref="S281:U281"/>
    <mergeCell ref="V281:X281"/>
    <mergeCell ref="R293:W293"/>
    <mergeCell ref="X293:Y293"/>
    <mergeCell ref="B294:D295"/>
    <mergeCell ref="F294:H295"/>
    <mergeCell ref="I294:K295"/>
    <mergeCell ref="L294:N295"/>
    <mergeCell ref="O294:Q295"/>
    <mergeCell ref="R294:W294"/>
    <mergeCell ref="X294:Y295"/>
    <mergeCell ref="R295:W295"/>
    <mergeCell ref="Y284:AA284"/>
    <mergeCell ref="B287:AA287"/>
    <mergeCell ref="B288:AA288"/>
    <mergeCell ref="B289:AA289"/>
    <mergeCell ref="B290:AA290"/>
    <mergeCell ref="B293:D293"/>
    <mergeCell ref="F293:H293"/>
    <mergeCell ref="I293:K293"/>
    <mergeCell ref="L293:N293"/>
    <mergeCell ref="O293:Q293"/>
    <mergeCell ref="F284:H284"/>
    <mergeCell ref="I284:L284"/>
    <mergeCell ref="M284:P284"/>
    <mergeCell ref="Q284:R284"/>
    <mergeCell ref="S284:U284"/>
    <mergeCell ref="V284:X284"/>
    <mergeCell ref="R299:Y299"/>
    <mergeCell ref="B300:D300"/>
    <mergeCell ref="F300:H300"/>
    <mergeCell ref="I300:K300"/>
    <mergeCell ref="L300:N300"/>
    <mergeCell ref="O300:Q300"/>
    <mergeCell ref="R300:V300"/>
    <mergeCell ref="W300:Y300"/>
    <mergeCell ref="B298:D298"/>
    <mergeCell ref="F298:H298"/>
    <mergeCell ref="I298:K298"/>
    <mergeCell ref="L298:N298"/>
    <mergeCell ref="O298:Q298"/>
    <mergeCell ref="B299:D299"/>
    <mergeCell ref="F299:H299"/>
    <mergeCell ref="I299:K299"/>
    <mergeCell ref="L299:N299"/>
    <mergeCell ref="O299:Q299"/>
    <mergeCell ref="G306:N306"/>
    <mergeCell ref="O306:V306"/>
    <mergeCell ref="B307:F307"/>
    <mergeCell ref="G307:H307"/>
    <mergeCell ref="I307:J307"/>
    <mergeCell ref="K307:L307"/>
    <mergeCell ref="M307:N307"/>
    <mergeCell ref="O307:P307"/>
    <mergeCell ref="Q307:R307"/>
    <mergeCell ref="S307:T307"/>
    <mergeCell ref="W301:Y301"/>
    <mergeCell ref="B302:D302"/>
    <mergeCell ref="F302:H302"/>
    <mergeCell ref="I302:K302"/>
    <mergeCell ref="L302:N302"/>
    <mergeCell ref="O302:Q302"/>
    <mergeCell ref="R302:V302"/>
    <mergeCell ref="W302:Y302"/>
    <mergeCell ref="B301:D301"/>
    <mergeCell ref="F301:H301"/>
    <mergeCell ref="I301:K301"/>
    <mergeCell ref="L301:N301"/>
    <mergeCell ref="O301:Q301"/>
    <mergeCell ref="R301:V301"/>
    <mergeCell ref="S308:T308"/>
    <mergeCell ref="U308:V310"/>
    <mergeCell ref="W308:Y310"/>
    <mergeCell ref="Z308:AA310"/>
    <mergeCell ref="B309:F309"/>
    <mergeCell ref="G309:H309"/>
    <mergeCell ref="I309:J309"/>
    <mergeCell ref="K309:L309"/>
    <mergeCell ref="O309:P309"/>
    <mergeCell ref="Q309:R309"/>
    <mergeCell ref="U307:V307"/>
    <mergeCell ref="W307:Y307"/>
    <mergeCell ref="Z307:AA307"/>
    <mergeCell ref="B308:F308"/>
    <mergeCell ref="G308:H308"/>
    <mergeCell ref="I308:J308"/>
    <mergeCell ref="K308:L308"/>
    <mergeCell ref="M308:N310"/>
    <mergeCell ref="O308:P308"/>
    <mergeCell ref="Q308:R308"/>
    <mergeCell ref="G313:N313"/>
    <mergeCell ref="O313:V313"/>
    <mergeCell ref="B314:F314"/>
    <mergeCell ref="G314:H314"/>
    <mergeCell ref="I314:J314"/>
    <mergeCell ref="K314:L314"/>
    <mergeCell ref="M314:N314"/>
    <mergeCell ref="O314:P314"/>
    <mergeCell ref="Q314:R314"/>
    <mergeCell ref="S314:T314"/>
    <mergeCell ref="S309:T309"/>
    <mergeCell ref="B310:F310"/>
    <mergeCell ref="G310:H310"/>
    <mergeCell ref="I310:J310"/>
    <mergeCell ref="K310:L310"/>
    <mergeCell ref="O310:P310"/>
    <mergeCell ref="Q310:R310"/>
    <mergeCell ref="S310:T310"/>
    <mergeCell ref="U315:V317"/>
    <mergeCell ref="W315:Y317"/>
    <mergeCell ref="D316:F316"/>
    <mergeCell ref="G316:H316"/>
    <mergeCell ref="I316:J316"/>
    <mergeCell ref="K316:L316"/>
    <mergeCell ref="O316:P316"/>
    <mergeCell ref="Q316:R316"/>
    <mergeCell ref="S316:T316"/>
    <mergeCell ref="U314:V314"/>
    <mergeCell ref="W314:Y314"/>
    <mergeCell ref="B315:C317"/>
    <mergeCell ref="D315:F315"/>
    <mergeCell ref="G315:H315"/>
    <mergeCell ref="I315:J315"/>
    <mergeCell ref="K315:L315"/>
    <mergeCell ref="M315:N317"/>
    <mergeCell ref="O315:P315"/>
    <mergeCell ref="Q315:R315"/>
    <mergeCell ref="S317:T317"/>
    <mergeCell ref="B318:C320"/>
    <mergeCell ref="D318:F318"/>
    <mergeCell ref="G318:H318"/>
    <mergeCell ref="I318:J318"/>
    <mergeCell ref="K318:L318"/>
    <mergeCell ref="M318:N320"/>
    <mergeCell ref="O318:P318"/>
    <mergeCell ref="Q318:R318"/>
    <mergeCell ref="S318:T318"/>
    <mergeCell ref="D317:F317"/>
    <mergeCell ref="G317:H317"/>
    <mergeCell ref="I317:J317"/>
    <mergeCell ref="K317:L317"/>
    <mergeCell ref="O317:P317"/>
    <mergeCell ref="Q317:R317"/>
    <mergeCell ref="S315:T315"/>
    <mergeCell ref="B323:AA323"/>
    <mergeCell ref="B324:AA324"/>
    <mergeCell ref="B325:AA325"/>
    <mergeCell ref="B326:AA326"/>
    <mergeCell ref="B327:AA327"/>
    <mergeCell ref="B328:AA328"/>
    <mergeCell ref="G320:H320"/>
    <mergeCell ref="I320:J320"/>
    <mergeCell ref="K320:L320"/>
    <mergeCell ref="O320:P320"/>
    <mergeCell ref="Q320:R320"/>
    <mergeCell ref="S320:T320"/>
    <mergeCell ref="U318:V320"/>
    <mergeCell ref="W318:Y320"/>
    <mergeCell ref="D319:F319"/>
    <mergeCell ref="G319:H319"/>
    <mergeCell ref="I319:J319"/>
    <mergeCell ref="K319:L319"/>
    <mergeCell ref="O319:P319"/>
    <mergeCell ref="Q319:R319"/>
    <mergeCell ref="S319:T319"/>
    <mergeCell ref="D320:F320"/>
    <mergeCell ref="B335:F335"/>
    <mergeCell ref="G335:J335"/>
    <mergeCell ref="K335:N335"/>
    <mergeCell ref="O335:R335"/>
    <mergeCell ref="S335:V335"/>
    <mergeCell ref="W335:Y335"/>
    <mergeCell ref="K333:N333"/>
    <mergeCell ref="O333:R333"/>
    <mergeCell ref="S333:V333"/>
    <mergeCell ref="W333:Y333"/>
    <mergeCell ref="B334:F334"/>
    <mergeCell ref="G334:J334"/>
    <mergeCell ref="K334:N334"/>
    <mergeCell ref="O334:R334"/>
    <mergeCell ref="S334:V334"/>
    <mergeCell ref="W334:Y334"/>
    <mergeCell ref="Z331:AA331"/>
    <mergeCell ref="B332:F332"/>
    <mergeCell ref="G332:J332"/>
    <mergeCell ref="K332:N332"/>
    <mergeCell ref="O332:R332"/>
    <mergeCell ref="S332:V332"/>
    <mergeCell ref="W332:Y332"/>
    <mergeCell ref="Z332:AA335"/>
    <mergeCell ref="B333:F333"/>
    <mergeCell ref="G333:J333"/>
    <mergeCell ref="B331:F331"/>
    <mergeCell ref="G331:J331"/>
    <mergeCell ref="K331:N331"/>
    <mergeCell ref="O331:R331"/>
    <mergeCell ref="S331:V331"/>
    <mergeCell ref="W331:Y331"/>
    <mergeCell ref="B340:F340"/>
    <mergeCell ref="G340:J340"/>
    <mergeCell ref="K340:N340"/>
    <mergeCell ref="O340:R340"/>
    <mergeCell ref="S340:V340"/>
    <mergeCell ref="W340:Y340"/>
    <mergeCell ref="B339:F339"/>
    <mergeCell ref="G339:J339"/>
    <mergeCell ref="K339:N339"/>
    <mergeCell ref="O339:R339"/>
    <mergeCell ref="S339:V339"/>
    <mergeCell ref="W339:Y339"/>
    <mergeCell ref="B338:F338"/>
    <mergeCell ref="G338:J338"/>
    <mergeCell ref="K338:N338"/>
    <mergeCell ref="O338:R338"/>
    <mergeCell ref="S338:V338"/>
    <mergeCell ref="W338:Y338"/>
    <mergeCell ref="W346:X346"/>
    <mergeCell ref="Y346:AA346"/>
    <mergeCell ref="B347:D369"/>
    <mergeCell ref="F347:H347"/>
    <mergeCell ref="I347:J347"/>
    <mergeCell ref="K347:L347"/>
    <mergeCell ref="M347:N347"/>
    <mergeCell ref="O347:P350"/>
    <mergeCell ref="Q347:R347"/>
    <mergeCell ref="S347:T347"/>
    <mergeCell ref="C344:Z344"/>
    <mergeCell ref="I345:P345"/>
    <mergeCell ref="Q345:X345"/>
    <mergeCell ref="B346:D346"/>
    <mergeCell ref="F346:H346"/>
    <mergeCell ref="I346:J346"/>
    <mergeCell ref="K346:N346"/>
    <mergeCell ref="O346:P346"/>
    <mergeCell ref="Q346:R346"/>
    <mergeCell ref="S346:V346"/>
    <mergeCell ref="F350:H350"/>
    <mergeCell ref="I350:J350"/>
    <mergeCell ref="M350:N350"/>
    <mergeCell ref="Q350:R350"/>
    <mergeCell ref="U350:V350"/>
    <mergeCell ref="Y350:AA350"/>
    <mergeCell ref="Y348:AA349"/>
    <mergeCell ref="F349:H349"/>
    <mergeCell ref="I349:J349"/>
    <mergeCell ref="M349:N349"/>
    <mergeCell ref="Q349:R349"/>
    <mergeCell ref="U349:V349"/>
    <mergeCell ref="U347:V347"/>
    <mergeCell ref="W347:X350"/>
    <mergeCell ref="Y347:AA347"/>
    <mergeCell ref="F348:H348"/>
    <mergeCell ref="I348:J348"/>
    <mergeCell ref="K348:L349"/>
    <mergeCell ref="M348:N348"/>
    <mergeCell ref="Q348:R348"/>
    <mergeCell ref="S348:T349"/>
    <mergeCell ref="U348:V348"/>
    <mergeCell ref="S351:T351"/>
    <mergeCell ref="U351:V351"/>
    <mergeCell ref="W351:X354"/>
    <mergeCell ref="Y351:AA351"/>
    <mergeCell ref="F352:H352"/>
    <mergeCell ref="I352:J352"/>
    <mergeCell ref="K352:L353"/>
    <mergeCell ref="M352:N352"/>
    <mergeCell ref="Q352:R352"/>
    <mergeCell ref="S352:T353"/>
    <mergeCell ref="F351:H351"/>
    <mergeCell ref="I351:J351"/>
    <mergeCell ref="K351:L351"/>
    <mergeCell ref="M351:N351"/>
    <mergeCell ref="O351:P354"/>
    <mergeCell ref="Q351:R351"/>
    <mergeCell ref="F354:H354"/>
    <mergeCell ref="I354:J354"/>
    <mergeCell ref="M354:N354"/>
    <mergeCell ref="Q354:R354"/>
    <mergeCell ref="U354:V354"/>
    <mergeCell ref="Y354:AA354"/>
    <mergeCell ref="F355:H355"/>
    <mergeCell ref="I355:J355"/>
    <mergeCell ref="K355:L355"/>
    <mergeCell ref="M355:N355"/>
    <mergeCell ref="O355:P358"/>
    <mergeCell ref="Q355:R355"/>
    <mergeCell ref="S355:T355"/>
    <mergeCell ref="U355:V355"/>
    <mergeCell ref="U352:V352"/>
    <mergeCell ref="Y352:AA353"/>
    <mergeCell ref="F353:H353"/>
    <mergeCell ref="I353:J353"/>
    <mergeCell ref="M353:N353"/>
    <mergeCell ref="Q353:R353"/>
    <mergeCell ref="U353:V353"/>
    <mergeCell ref="Y358:AA358"/>
    <mergeCell ref="F359:H359"/>
    <mergeCell ref="I359:J359"/>
    <mergeCell ref="K359:L359"/>
    <mergeCell ref="M359:N359"/>
    <mergeCell ref="O359:P362"/>
    <mergeCell ref="Q359:R359"/>
    <mergeCell ref="S359:T359"/>
    <mergeCell ref="U359:V359"/>
    <mergeCell ref="W359:X362"/>
    <mergeCell ref="F357:H357"/>
    <mergeCell ref="I357:J357"/>
    <mergeCell ref="M357:N357"/>
    <mergeCell ref="Q357:R357"/>
    <mergeCell ref="U357:V357"/>
    <mergeCell ref="F358:H358"/>
    <mergeCell ref="I358:J358"/>
    <mergeCell ref="M358:N358"/>
    <mergeCell ref="Q358:R358"/>
    <mergeCell ref="U358:V358"/>
    <mergeCell ref="W355:X358"/>
    <mergeCell ref="Y355:AA355"/>
    <mergeCell ref="F356:H356"/>
    <mergeCell ref="I356:J356"/>
    <mergeCell ref="K356:L357"/>
    <mergeCell ref="M356:N356"/>
    <mergeCell ref="Q356:R356"/>
    <mergeCell ref="S356:T357"/>
    <mergeCell ref="U356:V356"/>
    <mergeCell ref="Y356:AA357"/>
    <mergeCell ref="I361:J361"/>
    <mergeCell ref="M361:N361"/>
    <mergeCell ref="Q361:R361"/>
    <mergeCell ref="U361:V361"/>
    <mergeCell ref="F362:H362"/>
    <mergeCell ref="I362:J362"/>
    <mergeCell ref="M362:N362"/>
    <mergeCell ref="Q362:R362"/>
    <mergeCell ref="U362:V362"/>
    <mergeCell ref="Y359:AA359"/>
    <mergeCell ref="F360:H360"/>
    <mergeCell ref="I360:J360"/>
    <mergeCell ref="K360:L361"/>
    <mergeCell ref="M360:N360"/>
    <mergeCell ref="Q360:R360"/>
    <mergeCell ref="S360:T361"/>
    <mergeCell ref="U360:V360"/>
    <mergeCell ref="Y360:AA361"/>
    <mergeCell ref="F361:H361"/>
    <mergeCell ref="Y363:AA363"/>
    <mergeCell ref="F364:H364"/>
    <mergeCell ref="I364:J364"/>
    <mergeCell ref="K364:L365"/>
    <mergeCell ref="M364:N364"/>
    <mergeCell ref="Q364:R364"/>
    <mergeCell ref="S364:T365"/>
    <mergeCell ref="U364:V364"/>
    <mergeCell ref="Y364:AA365"/>
    <mergeCell ref="F365:H365"/>
    <mergeCell ref="Y362:AA362"/>
    <mergeCell ref="F363:H363"/>
    <mergeCell ref="I363:J363"/>
    <mergeCell ref="K363:L363"/>
    <mergeCell ref="M363:N363"/>
    <mergeCell ref="O363:P366"/>
    <mergeCell ref="Q363:R363"/>
    <mergeCell ref="S363:T363"/>
    <mergeCell ref="U363:V363"/>
    <mergeCell ref="W363:X366"/>
    <mergeCell ref="Y366:AA366"/>
    <mergeCell ref="Y367:AA367"/>
    <mergeCell ref="Y368:AA368"/>
    <mergeCell ref="Y369:AA369"/>
    <mergeCell ref="B370:D392"/>
    <mergeCell ref="F370:H370"/>
    <mergeCell ref="I370:J370"/>
    <mergeCell ref="K370:L370"/>
    <mergeCell ref="M370:N370"/>
    <mergeCell ref="O370:P373"/>
    <mergeCell ref="I365:J365"/>
    <mergeCell ref="M365:N365"/>
    <mergeCell ref="Q365:R365"/>
    <mergeCell ref="U365:V365"/>
    <mergeCell ref="F366:H366"/>
    <mergeCell ref="I366:J366"/>
    <mergeCell ref="M366:N366"/>
    <mergeCell ref="Q366:R366"/>
    <mergeCell ref="U366:V366"/>
    <mergeCell ref="F373:H373"/>
    <mergeCell ref="I373:J373"/>
    <mergeCell ref="M373:N373"/>
    <mergeCell ref="Q373:R373"/>
    <mergeCell ref="U373:V373"/>
    <mergeCell ref="Y373:AA373"/>
    <mergeCell ref="S371:T372"/>
    <mergeCell ref="U371:V371"/>
    <mergeCell ref="Y371:AA372"/>
    <mergeCell ref="F372:H372"/>
    <mergeCell ref="I372:J372"/>
    <mergeCell ref="M372:N372"/>
    <mergeCell ref="Q372:R372"/>
    <mergeCell ref="U372:V372"/>
    <mergeCell ref="Q370:R370"/>
    <mergeCell ref="S370:T370"/>
    <mergeCell ref="U370:V370"/>
    <mergeCell ref="W370:X373"/>
    <mergeCell ref="Y370:AA370"/>
    <mergeCell ref="F371:H371"/>
    <mergeCell ref="I371:J371"/>
    <mergeCell ref="K371:L372"/>
    <mergeCell ref="M371:N371"/>
    <mergeCell ref="Q371:R371"/>
    <mergeCell ref="S374:T374"/>
    <mergeCell ref="U374:V374"/>
    <mergeCell ref="W374:X377"/>
    <mergeCell ref="Y374:AA374"/>
    <mergeCell ref="F375:H375"/>
    <mergeCell ref="I375:J375"/>
    <mergeCell ref="K375:L376"/>
    <mergeCell ref="M375:N375"/>
    <mergeCell ref="Q375:R375"/>
    <mergeCell ref="S375:T376"/>
    <mergeCell ref="F374:H374"/>
    <mergeCell ref="I374:J374"/>
    <mergeCell ref="K374:L374"/>
    <mergeCell ref="M374:N374"/>
    <mergeCell ref="O374:P377"/>
    <mergeCell ref="Q374:R374"/>
    <mergeCell ref="F377:H377"/>
    <mergeCell ref="I377:J377"/>
    <mergeCell ref="M377:N377"/>
    <mergeCell ref="Q377:R377"/>
    <mergeCell ref="U377:V377"/>
    <mergeCell ref="Y377:AA377"/>
    <mergeCell ref="F378:H378"/>
    <mergeCell ref="I378:J378"/>
    <mergeCell ref="K378:L378"/>
    <mergeCell ref="M378:N378"/>
    <mergeCell ref="O378:P381"/>
    <mergeCell ref="Q378:R378"/>
    <mergeCell ref="S378:T378"/>
    <mergeCell ref="U378:V378"/>
    <mergeCell ref="U375:V375"/>
    <mergeCell ref="Y375:AA376"/>
    <mergeCell ref="F376:H376"/>
    <mergeCell ref="I376:J376"/>
    <mergeCell ref="M376:N376"/>
    <mergeCell ref="Q376:R376"/>
    <mergeCell ref="U376:V376"/>
    <mergeCell ref="F380:H380"/>
    <mergeCell ref="I380:J380"/>
    <mergeCell ref="M380:N380"/>
    <mergeCell ref="Q380:R380"/>
    <mergeCell ref="U380:V380"/>
    <mergeCell ref="F381:H381"/>
    <mergeCell ref="I381:J381"/>
    <mergeCell ref="M381:N381"/>
    <mergeCell ref="Q381:R381"/>
    <mergeCell ref="U381:V381"/>
    <mergeCell ref="W378:X381"/>
    <mergeCell ref="Y378:AA378"/>
    <mergeCell ref="F379:H379"/>
    <mergeCell ref="I379:J379"/>
    <mergeCell ref="K379:L380"/>
    <mergeCell ref="M379:N379"/>
    <mergeCell ref="Q379:R379"/>
    <mergeCell ref="S379:T380"/>
    <mergeCell ref="U379:V379"/>
    <mergeCell ref="Y379:AA380"/>
    <mergeCell ref="Y382:AA382"/>
    <mergeCell ref="F383:H383"/>
    <mergeCell ref="I383:J383"/>
    <mergeCell ref="K383:L384"/>
    <mergeCell ref="M383:N383"/>
    <mergeCell ref="Q383:R383"/>
    <mergeCell ref="S383:T384"/>
    <mergeCell ref="U383:V383"/>
    <mergeCell ref="Y383:AA384"/>
    <mergeCell ref="F384:H384"/>
    <mergeCell ref="Y381:AA381"/>
    <mergeCell ref="F382:H382"/>
    <mergeCell ref="I382:J382"/>
    <mergeCell ref="K382:L382"/>
    <mergeCell ref="M382:N382"/>
    <mergeCell ref="O382:P385"/>
    <mergeCell ref="Q382:R382"/>
    <mergeCell ref="S382:T382"/>
    <mergeCell ref="U382:V382"/>
    <mergeCell ref="W382:X385"/>
    <mergeCell ref="Y385:AA385"/>
    <mergeCell ref="F386:H386"/>
    <mergeCell ref="I386:J386"/>
    <mergeCell ref="K386:L386"/>
    <mergeCell ref="M386:N386"/>
    <mergeCell ref="O386:P389"/>
    <mergeCell ref="Q386:R386"/>
    <mergeCell ref="S386:T386"/>
    <mergeCell ref="U386:V386"/>
    <mergeCell ref="W386:X389"/>
    <mergeCell ref="I384:J384"/>
    <mergeCell ref="M384:N384"/>
    <mergeCell ref="Q384:R384"/>
    <mergeCell ref="U384:V384"/>
    <mergeCell ref="F385:H385"/>
    <mergeCell ref="I385:J385"/>
    <mergeCell ref="M385:N385"/>
    <mergeCell ref="Q385:R385"/>
    <mergeCell ref="U385:V385"/>
    <mergeCell ref="I388:J388"/>
    <mergeCell ref="M388:N388"/>
    <mergeCell ref="Q388:R388"/>
    <mergeCell ref="U388:V388"/>
    <mergeCell ref="F389:H389"/>
    <mergeCell ref="I389:J389"/>
    <mergeCell ref="M389:N389"/>
    <mergeCell ref="Q389:R389"/>
    <mergeCell ref="U389:V389"/>
    <mergeCell ref="Y386:AA386"/>
    <mergeCell ref="F387:H387"/>
    <mergeCell ref="I387:J387"/>
    <mergeCell ref="K387:L388"/>
    <mergeCell ref="M387:N387"/>
    <mergeCell ref="Q387:R387"/>
    <mergeCell ref="S387:T388"/>
    <mergeCell ref="U387:V387"/>
    <mergeCell ref="Y387:AA388"/>
    <mergeCell ref="F388:H388"/>
    <mergeCell ref="S397:V397"/>
    <mergeCell ref="W397:X397"/>
    <mergeCell ref="Y397:AA397"/>
    <mergeCell ref="B398:D420"/>
    <mergeCell ref="F398:H398"/>
    <mergeCell ref="I398:J398"/>
    <mergeCell ref="K398:L398"/>
    <mergeCell ref="M398:N398"/>
    <mergeCell ref="O398:P401"/>
    <mergeCell ref="Q398:R398"/>
    <mergeCell ref="B397:D397"/>
    <mergeCell ref="F397:H397"/>
    <mergeCell ref="I397:J397"/>
    <mergeCell ref="K397:N397"/>
    <mergeCell ref="O397:P397"/>
    <mergeCell ref="Q397:R397"/>
    <mergeCell ref="Y389:AA389"/>
    <mergeCell ref="Y390:AA390"/>
    <mergeCell ref="Y391:AA391"/>
    <mergeCell ref="Y392:AA392"/>
    <mergeCell ref="I396:P396"/>
    <mergeCell ref="Q396:X396"/>
    <mergeCell ref="F401:H401"/>
    <mergeCell ref="I401:J401"/>
    <mergeCell ref="M401:N401"/>
    <mergeCell ref="Q401:R401"/>
    <mergeCell ref="U401:V401"/>
    <mergeCell ref="Y401:AA401"/>
    <mergeCell ref="U399:V399"/>
    <mergeCell ref="Y399:AA400"/>
    <mergeCell ref="F400:H400"/>
    <mergeCell ref="I400:J400"/>
    <mergeCell ref="M400:N400"/>
    <mergeCell ref="Q400:R400"/>
    <mergeCell ref="U400:V400"/>
    <mergeCell ref="S398:T398"/>
    <mergeCell ref="U398:V398"/>
    <mergeCell ref="W398:X401"/>
    <mergeCell ref="Y398:AA398"/>
    <mergeCell ref="F399:H399"/>
    <mergeCell ref="I399:J399"/>
    <mergeCell ref="K399:L400"/>
    <mergeCell ref="M399:N399"/>
    <mergeCell ref="Q399:R399"/>
    <mergeCell ref="S399:T400"/>
    <mergeCell ref="S402:T402"/>
    <mergeCell ref="U402:V402"/>
    <mergeCell ref="W402:X405"/>
    <mergeCell ref="Y402:AA402"/>
    <mergeCell ref="F403:H403"/>
    <mergeCell ref="I403:J403"/>
    <mergeCell ref="K403:L404"/>
    <mergeCell ref="M403:N403"/>
    <mergeCell ref="Q403:R403"/>
    <mergeCell ref="S403:T404"/>
    <mergeCell ref="F402:H402"/>
    <mergeCell ref="I402:J402"/>
    <mergeCell ref="K402:L402"/>
    <mergeCell ref="M402:N402"/>
    <mergeCell ref="O402:P405"/>
    <mergeCell ref="Q402:R402"/>
    <mergeCell ref="F405:H405"/>
    <mergeCell ref="I405:J405"/>
    <mergeCell ref="M405:N405"/>
    <mergeCell ref="Q405:R405"/>
    <mergeCell ref="U405:V405"/>
    <mergeCell ref="Y405:AA405"/>
    <mergeCell ref="F406:H406"/>
    <mergeCell ref="I406:J406"/>
    <mergeCell ref="K406:L406"/>
    <mergeCell ref="M406:N406"/>
    <mergeCell ref="O406:P409"/>
    <mergeCell ref="Q406:R406"/>
    <mergeCell ref="S406:T406"/>
    <mergeCell ref="U406:V406"/>
    <mergeCell ref="U403:V403"/>
    <mergeCell ref="Y403:AA404"/>
    <mergeCell ref="F404:H404"/>
    <mergeCell ref="I404:J404"/>
    <mergeCell ref="M404:N404"/>
    <mergeCell ref="Q404:R404"/>
    <mergeCell ref="U404:V404"/>
    <mergeCell ref="F408:H408"/>
    <mergeCell ref="I408:J408"/>
    <mergeCell ref="M408:N408"/>
    <mergeCell ref="Q408:R408"/>
    <mergeCell ref="U408:V408"/>
    <mergeCell ref="F409:H409"/>
    <mergeCell ref="I409:J409"/>
    <mergeCell ref="M409:N409"/>
    <mergeCell ref="Q409:R409"/>
    <mergeCell ref="U409:V409"/>
    <mergeCell ref="W406:X409"/>
    <mergeCell ref="Y406:AA406"/>
    <mergeCell ref="F407:H407"/>
    <mergeCell ref="I407:J407"/>
    <mergeCell ref="K407:L408"/>
    <mergeCell ref="M407:N407"/>
    <mergeCell ref="Q407:R407"/>
    <mergeCell ref="S407:T408"/>
    <mergeCell ref="U407:V407"/>
    <mergeCell ref="Y407:AA408"/>
    <mergeCell ref="Y410:AA410"/>
    <mergeCell ref="F411:H411"/>
    <mergeCell ref="I411:J411"/>
    <mergeCell ref="K411:L412"/>
    <mergeCell ref="M411:N411"/>
    <mergeCell ref="Q411:R411"/>
    <mergeCell ref="S411:T412"/>
    <mergeCell ref="U411:V411"/>
    <mergeCell ref="Y411:AA412"/>
    <mergeCell ref="F412:H412"/>
    <mergeCell ref="Y409:AA409"/>
    <mergeCell ref="F410:H410"/>
    <mergeCell ref="I410:J410"/>
    <mergeCell ref="K410:L410"/>
    <mergeCell ref="M410:N410"/>
    <mergeCell ref="O410:P413"/>
    <mergeCell ref="Q410:R410"/>
    <mergeCell ref="S410:T410"/>
    <mergeCell ref="U410:V410"/>
    <mergeCell ref="W410:X413"/>
    <mergeCell ref="Y413:AA413"/>
    <mergeCell ref="F414:H414"/>
    <mergeCell ref="I414:J414"/>
    <mergeCell ref="K414:L414"/>
    <mergeCell ref="M414:N414"/>
    <mergeCell ref="O414:P417"/>
    <mergeCell ref="Q414:R414"/>
    <mergeCell ref="S414:T414"/>
    <mergeCell ref="U414:V414"/>
    <mergeCell ref="W414:X417"/>
    <mergeCell ref="I412:J412"/>
    <mergeCell ref="M412:N412"/>
    <mergeCell ref="Q412:R412"/>
    <mergeCell ref="U412:V412"/>
    <mergeCell ref="F413:H413"/>
    <mergeCell ref="I413:J413"/>
    <mergeCell ref="M413:N413"/>
    <mergeCell ref="Q413:R413"/>
    <mergeCell ref="U413:V413"/>
    <mergeCell ref="Y417:AA417"/>
    <mergeCell ref="Y418:AA418"/>
    <mergeCell ref="Y419:AA419"/>
    <mergeCell ref="Y420:AA420"/>
    <mergeCell ref="I416:J416"/>
    <mergeCell ref="M416:N416"/>
    <mergeCell ref="Q416:R416"/>
    <mergeCell ref="U416:V416"/>
    <mergeCell ref="F417:H417"/>
    <mergeCell ref="I417:J417"/>
    <mergeCell ref="M417:N417"/>
    <mergeCell ref="Q417:R417"/>
    <mergeCell ref="U417:V417"/>
    <mergeCell ref="Y414:AA414"/>
    <mergeCell ref="F415:H415"/>
    <mergeCell ref="I415:J415"/>
    <mergeCell ref="K415:L416"/>
    <mergeCell ref="M415:N415"/>
    <mergeCell ref="Q415:R415"/>
    <mergeCell ref="S415:T416"/>
    <mergeCell ref="U415:V415"/>
    <mergeCell ref="Y415:AA416"/>
    <mergeCell ref="F416:H416"/>
  </mergeCells>
  <phoneticPr fontId="2"/>
  <dataValidations count="11">
    <dataValidation type="list" allowBlank="1" showInputMessage="1" showErrorMessage="1" sqref="R25:AA25" xr:uid="{14BD6E48-898E-41B0-ABCE-85E35F879E33}">
      <formula1>$G$22:$W$22</formula1>
    </dataValidation>
    <dataValidation type="whole" operator="lessThanOrEqual" allowBlank="1" showInputMessage="1" showErrorMessage="1" error="採用者数以下の人数となります。" sqref="M355:M357 M359:M361 M363:M365 M351:M353 U359:U361 U363:U365 U351:U353 U355:U357 M378:M380 M382:M384 M386:M388 M374:M376 U382:U384 U386:U388 U374:U376 U378:U380 M406:M408 M410:M412 M414:M416 M402:M404 U410:U412 U414:U416 U402:U404 U406:U408" xr:uid="{B053DCC5-B89A-49FD-95B7-B0A69EC6A2C5}">
      <formula1>I351</formula1>
    </dataValidation>
    <dataValidation type="list" allowBlank="1" showInputMessage="1" showErrorMessage="1" sqref="N32:N37" xr:uid="{9D834547-D92B-45C4-950A-1F8DF1AB6B13}">
      <formula1>"常勤ﾌﾙﾀｲﾑ,常勤短時間,非常勤,ﾊﾟｰﾄﾀｲﾑ,裁量労働制"</formula1>
    </dataValidation>
    <dataValidation type="list" allowBlank="1" showInputMessage="1" showErrorMessage="1" sqref="J32:J37" xr:uid="{D83D8B31-8583-466D-BFBC-E6EA897A853E}">
      <formula1>"定めなし(無期),定めあり(有期)"</formula1>
    </dataValidation>
    <dataValidation type="list" allowBlank="1" showInputMessage="1" showErrorMessage="1" sqref="R32:R37" xr:uid="{87F2109D-E47F-4604-848D-C9A99224782E}">
      <formula1>"対象労働者,対象外労働者"</formula1>
    </dataValidation>
    <dataValidation type="list" allowBlank="1" showInputMessage="1" showErrorMessage="1" sqref="I32:I34" xr:uid="{0F3B45D1-EE82-468F-A0A3-827A7C58DA2B}">
      <formula1>"○"</formula1>
    </dataValidation>
    <dataValidation type="list" allowBlank="1" showInputMessage="1" showErrorMessage="1" sqref="I30" xr:uid="{46AF8907-1494-4C36-BFC2-CD77A9CB098B}">
      <formula1>"設定あり,設定なし"</formula1>
    </dataValidation>
    <dataValidation type="list" allowBlank="1" showInputMessage="1" showErrorMessage="1" sqref="Z308:AA310 W165:AA165 Z91:AA92 Z105:AA106 X237 X294:Y295 R199:S200 X64 X264 U129:X129 Z332:AA335 AA339:AA340" xr:uid="{3B915882-8A69-43B5-9F48-ABC2882F9FD4}">
      <formula1>"該当,非該当"</formula1>
    </dataValidation>
    <dataValidation imeMode="halfAlpha" allowBlank="1" showInputMessage="1" showErrorMessage="1" prompt="半角数字で、ハイフンを入れて記載してください。" sqref="I41:M41" xr:uid="{499FC14B-EABA-45CB-A4F3-9F3C09B49EBF}"/>
    <dataValidation type="whole" operator="lessThanOrEqual" allowBlank="1" showInputMessage="1" showErrorMessage="1" error="応募者数以下の人数となります。" sqref="J55:K63 T55:U63 J70:K84 N70:O84" xr:uid="{096F1960-30F3-4B8D-9A21-9EB42EB880EB}">
      <formula1>H55</formula1>
    </dataValidation>
    <dataValidation type="whole" operator="lessThanOrEqual" allowBlank="1" showInputMessage="1" showErrorMessage="1" error="採用者数以下の人数となります。" sqref="K161:M163 R153:T155 R161:T163 R157:T159 K153:M155 K157:M159" xr:uid="{822DF261-3440-4B70-82B1-221BD10E9100}">
      <formula1>I153</formula1>
    </dataValidation>
  </dataValidations>
  <printOptions horizontalCentered="1"/>
  <pageMargins left="0.70866141732283472" right="0.70866141732283472" top="0.74803149606299213" bottom="0.35433070866141736" header="0.31496062992125984" footer="0.11811023622047245"/>
  <pageSetup paperSize="9" scale="92" fitToHeight="0" orientation="portrait" r:id="rId1"/>
  <headerFooter scaleWithDoc="0">
    <oddFooter>&amp;C&amp;P/&amp;N</oddFooter>
  </headerFooter>
  <rowBreaks count="11" manualBreakCount="11">
    <brk id="42" max="16383" man="1"/>
    <brk id="85" max="27" man="1"/>
    <brk id="114" max="27" man="1"/>
    <brk id="146" max="27" man="1"/>
    <brk id="194" max="27" man="1"/>
    <brk id="208" max="27" man="1"/>
    <brk id="240" max="27" man="1"/>
    <brk id="285" max="27" man="1"/>
    <brk id="321" max="27" man="1"/>
    <brk id="341" max="16383" man="1"/>
    <brk id="393" max="2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確認調書・和暦</vt:lpstr>
      <vt:lpstr>確認調書・西暦</vt:lpstr>
      <vt:lpstr>記載例１</vt:lpstr>
      <vt:lpstr>記載例２</vt:lpstr>
      <vt:lpstr>確認調書・西暦!Print_Area</vt:lpstr>
      <vt:lpstr>確認調書・和暦!Print_Area</vt:lpstr>
      <vt:lpstr>記載例１!Print_Area</vt:lpstr>
      <vt:lpstr>記載例２!Print_Area</vt:lpstr>
    </vt:vector>
  </TitlesOfParts>
  <Company>秋田県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秋田県</dc:creator>
  <cp:lastModifiedBy>藤田　良彰</cp:lastModifiedBy>
  <cp:lastPrinted>2026-03-27T07:54:50Z</cp:lastPrinted>
  <dcterms:created xsi:type="dcterms:W3CDTF">2012-12-28T00:27:46Z</dcterms:created>
  <dcterms:modified xsi:type="dcterms:W3CDTF">2026-03-30T07:57:55Z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2024-04-26T05:04:26Z</vt:filetime>
  </property>
</Properties>
</file>